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d.docs.live.net/0ac9d691f2c8e133/Bureau/"/>
    </mc:Choice>
  </mc:AlternateContent>
  <xr:revisionPtr revIDLastSave="38" documentId="8_{7AF892FA-87B0-42C7-8CBB-CECE3C77434A}" xr6:coauthVersionLast="47" xr6:coauthVersionMax="47" xr10:uidLastSave="{F3009649-23F8-4AB2-8881-9D8282FFCB3F}"/>
  <bookViews>
    <workbookView xWindow="-110" yWindow="-110" windowWidth="25820" windowHeight="15500" activeTab="2" xr2:uid="{ECC6C2D8-B4C0-4191-9308-45406ACCBA5A}"/>
  </bookViews>
  <sheets>
    <sheet name="Notice d'utilisation" sheetId="6" r:id="rId1"/>
    <sheet name="Référentiel" sheetId="1" r:id="rId2"/>
    <sheet name="Caractéristiques du service" sheetId="3" r:id="rId3"/>
    <sheet name="Résultats" sheetId="2" r:id="rId4"/>
    <sheet name="Résultats USIC temps continu" sheetId="7" r:id="rId5"/>
    <sheet name="Base de données " sheetId="5" state="hidden" r:id="rId6"/>
  </sheets>
  <definedNames>
    <definedName name="BaseUSIC">base_usic[[Nombre de lits d''USIC]:[Week-end
Nombre de demi-journées postées par we en médecins seniors]]</definedName>
    <definedName name="NbFormation">'Caractéristiques du service'!$B$31</definedName>
    <definedName name="NbRTT">'Caractéristiques du service'!$B$30</definedName>
    <definedName name="NbSolidarite">Référentiel!$C$20</definedName>
    <definedName name="NomEtb">'Caractéristiques du service'!$B$7</definedName>
    <definedName name="USC">base_HDJ7[#Headers]</definedName>
    <definedName name="USIC">'Base de données '!$C$5:$C$8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6" i="7" l="1" a="1"/>
  <c r="I16" i="7" s="1"/>
  <c r="F16" i="7" a="1"/>
  <c r="F16" i="7" s="1"/>
  <c r="C16" i="7" a="1"/>
  <c r="C16" i="7" s="1"/>
  <c r="I16" i="2" a="1"/>
  <c r="I16" i="2" s="1"/>
  <c r="F16" i="2" a="1"/>
  <c r="F16" i="2" s="1"/>
  <c r="C16" i="2" a="1"/>
  <c r="C16" i="2" s="1"/>
  <c r="E16" i="2" s="1"/>
  <c r="C30" i="2" a="1"/>
  <c r="C30" i="2" s="1"/>
  <c r="C15" i="2"/>
  <c r="D14" i="2"/>
  <c r="AP5" i="5"/>
  <c r="AP6" i="5"/>
  <c r="AP7" i="5"/>
  <c r="AP8" i="5"/>
  <c r="AP9" i="5"/>
  <c r="AP10" i="5"/>
  <c r="AP11" i="5"/>
  <c r="AP12" i="5"/>
  <c r="AP13" i="5"/>
  <c r="AP14" i="5"/>
  <c r="AP15" i="5"/>
  <c r="AP16" i="5"/>
  <c r="AP17" i="5"/>
  <c r="AP18" i="5"/>
  <c r="AP19" i="5"/>
  <c r="AP20" i="5"/>
  <c r="AP21" i="5"/>
  <c r="AP22" i="5"/>
  <c r="AP23" i="5"/>
  <c r="AP24" i="5"/>
  <c r="AP25" i="5"/>
  <c r="AP26" i="5"/>
  <c r="AP27" i="5"/>
  <c r="AP28" i="5"/>
  <c r="AP29" i="5"/>
  <c r="AP30" i="5"/>
  <c r="AP31" i="5"/>
  <c r="AP32" i="5"/>
  <c r="AP33" i="5"/>
  <c r="AP34" i="5"/>
  <c r="AP35" i="5"/>
  <c r="AP36" i="5"/>
  <c r="AP37" i="5"/>
  <c r="AP38" i="5"/>
  <c r="AP39" i="5"/>
  <c r="AP40" i="5"/>
  <c r="AP41" i="5"/>
  <c r="AP42" i="5"/>
  <c r="AP43" i="5"/>
  <c r="AP44" i="5"/>
  <c r="AP45" i="5"/>
  <c r="AP46" i="5"/>
  <c r="AP47" i="5"/>
  <c r="AP48" i="5"/>
  <c r="AP49" i="5"/>
  <c r="AP50" i="5"/>
  <c r="AP51" i="5"/>
  <c r="AP52" i="5"/>
  <c r="AP53" i="5"/>
  <c r="AP54" i="5"/>
  <c r="AP55" i="5"/>
  <c r="AP56" i="5"/>
  <c r="AP57" i="5"/>
  <c r="AP58" i="5"/>
  <c r="AP59" i="5"/>
  <c r="AP60" i="5"/>
  <c r="AP61" i="5"/>
  <c r="AP62" i="5"/>
  <c r="AP63" i="5"/>
  <c r="AP64" i="5"/>
  <c r="AP65" i="5"/>
  <c r="AP66" i="5"/>
  <c r="AP67" i="5"/>
  <c r="AP68" i="5"/>
  <c r="AP69" i="5"/>
  <c r="AP70" i="5"/>
  <c r="AP71" i="5"/>
  <c r="AP72" i="5"/>
  <c r="AP73" i="5"/>
  <c r="AP74" i="5"/>
  <c r="AP75" i="5"/>
  <c r="AP76" i="5"/>
  <c r="AP77" i="5"/>
  <c r="AP78" i="5"/>
  <c r="AP79" i="5"/>
  <c r="AP80" i="5"/>
  <c r="AP81" i="5"/>
  <c r="AP82" i="5"/>
  <c r="AP83" i="5"/>
  <c r="AP84" i="5"/>
  <c r="AP85" i="5"/>
  <c r="AP86" i="5"/>
  <c r="AP87" i="5"/>
  <c r="AP88" i="5"/>
  <c r="AP89" i="5"/>
  <c r="AP90" i="5"/>
  <c r="AP91" i="5"/>
  <c r="AP92" i="5"/>
  <c r="AP93" i="5"/>
  <c r="AP94" i="5"/>
  <c r="AP95" i="5"/>
  <c r="AP96" i="5"/>
  <c r="AP97" i="5"/>
  <c r="AP98" i="5"/>
  <c r="AP99" i="5"/>
  <c r="AP100" i="5"/>
  <c r="AP101" i="5"/>
  <c r="AP102" i="5"/>
  <c r="AP103" i="5"/>
  <c r="AP104" i="5"/>
  <c r="AP4" i="5"/>
  <c r="AL5" i="5"/>
  <c r="AL6" i="5"/>
  <c r="AL7" i="5"/>
  <c r="AL8" i="5"/>
  <c r="AL9" i="5"/>
  <c r="AL10" i="5"/>
  <c r="AL11" i="5"/>
  <c r="AL12" i="5"/>
  <c r="AL13" i="5"/>
  <c r="AL14" i="5"/>
  <c r="AL15" i="5"/>
  <c r="AL16" i="5"/>
  <c r="AL17" i="5"/>
  <c r="AL18" i="5"/>
  <c r="AL19" i="5"/>
  <c r="AL20" i="5"/>
  <c r="AL21" i="5"/>
  <c r="AL22" i="5"/>
  <c r="AL23" i="5"/>
  <c r="AL24" i="5"/>
  <c r="AL25" i="5"/>
  <c r="AL26" i="5"/>
  <c r="AL27" i="5"/>
  <c r="AL28" i="5"/>
  <c r="AL29" i="5"/>
  <c r="AL30" i="5"/>
  <c r="AL31" i="5"/>
  <c r="AL32" i="5"/>
  <c r="AL33" i="5"/>
  <c r="AL34" i="5"/>
  <c r="AL35" i="5"/>
  <c r="AL36" i="5"/>
  <c r="AL37" i="5"/>
  <c r="AL38" i="5"/>
  <c r="AL39" i="5"/>
  <c r="AL40" i="5"/>
  <c r="AL41" i="5"/>
  <c r="AL42" i="5"/>
  <c r="AL43" i="5"/>
  <c r="AL44" i="5"/>
  <c r="AL45" i="5"/>
  <c r="AL46" i="5"/>
  <c r="AL47" i="5"/>
  <c r="AL48" i="5"/>
  <c r="AL49" i="5"/>
  <c r="AL50" i="5"/>
  <c r="AL51" i="5"/>
  <c r="AL52" i="5"/>
  <c r="AL53" i="5"/>
  <c r="AL54" i="5"/>
  <c r="AL55" i="5"/>
  <c r="AL56" i="5"/>
  <c r="AL57" i="5"/>
  <c r="AL58" i="5"/>
  <c r="AL59" i="5"/>
  <c r="AL60" i="5"/>
  <c r="AL61" i="5"/>
  <c r="AL62" i="5"/>
  <c r="AL63" i="5"/>
  <c r="AL64" i="5"/>
  <c r="AL65" i="5"/>
  <c r="AL66" i="5"/>
  <c r="AL67" i="5"/>
  <c r="AL68" i="5"/>
  <c r="AL69" i="5"/>
  <c r="AL70" i="5"/>
  <c r="AL71" i="5"/>
  <c r="AL72" i="5"/>
  <c r="AL73" i="5"/>
  <c r="AL74" i="5"/>
  <c r="AL75" i="5"/>
  <c r="AL76" i="5"/>
  <c r="AL77" i="5"/>
  <c r="AL78" i="5"/>
  <c r="AL79" i="5"/>
  <c r="AL80" i="5"/>
  <c r="AL81" i="5"/>
  <c r="AL82" i="5"/>
  <c r="AL83" i="5"/>
  <c r="AL84" i="5"/>
  <c r="AL85" i="5"/>
  <c r="AL86" i="5"/>
  <c r="AL87" i="5"/>
  <c r="AL88" i="5"/>
  <c r="AL89" i="5"/>
  <c r="AL90" i="5"/>
  <c r="AL91" i="5"/>
  <c r="AL92" i="5"/>
  <c r="AL93" i="5"/>
  <c r="AL94" i="5"/>
  <c r="AL95" i="5"/>
  <c r="AL96" i="5"/>
  <c r="AL97" i="5"/>
  <c r="AL98" i="5"/>
  <c r="AL99" i="5"/>
  <c r="AL100" i="5"/>
  <c r="AL101" i="5"/>
  <c r="AL102" i="5"/>
  <c r="AL103" i="5"/>
  <c r="AL104" i="5"/>
  <c r="AL4" i="5"/>
  <c r="F13" i="2"/>
  <c r="J24" i="2" l="1"/>
  <c r="K24" i="2"/>
  <c r="L24" i="2"/>
  <c r="L14" i="7" l="1"/>
  <c r="L14" i="2"/>
  <c r="J14" i="7" l="1"/>
  <c r="L13" i="7"/>
  <c r="L13" i="2"/>
  <c r="J13" i="7" l="1"/>
  <c r="J13" i="2"/>
  <c r="I13" i="7"/>
  <c r="I13" i="2"/>
  <c r="G13" i="7"/>
  <c r="G13" i="2"/>
  <c r="F13" i="7"/>
  <c r="D13" i="7"/>
  <c r="D13" i="2"/>
  <c r="C13" i="7"/>
  <c r="C13" i="2"/>
  <c r="G14" i="7" l="1"/>
  <c r="D14" i="7"/>
  <c r="G14" i="2"/>
  <c r="J14" i="2"/>
  <c r="K13" i="2" l="1"/>
  <c r="E13" i="2"/>
  <c r="H13" i="2"/>
  <c r="AV12" i="5"/>
  <c r="AV13" i="5" s="1"/>
  <c r="AV14" i="5" s="1"/>
  <c r="AV6" i="5"/>
  <c r="AV7" i="5" s="1"/>
  <c r="AV8" i="5" s="1"/>
  <c r="AV9" i="5"/>
  <c r="AV10" i="5" s="1"/>
  <c r="AV11" i="5" s="1"/>
  <c r="C23" i="3"/>
  <c r="AW6" i="5" l="1"/>
  <c r="AW12" i="5"/>
  <c r="AW13" i="5" s="1"/>
  <c r="AW14" i="5" s="1"/>
  <c r="AW9" i="5"/>
  <c r="AW10" i="5" s="1"/>
  <c r="AW11" i="5" s="1"/>
  <c r="AV5" i="5"/>
  <c r="AW5" i="5" l="1"/>
  <c r="AW7" i="5"/>
  <c r="AW8" i="5" s="1"/>
  <c r="AW4" i="5"/>
  <c r="C5" i="7"/>
  <c r="C5" i="2"/>
  <c r="C20" i="2"/>
  <c r="F19" i="2"/>
  <c r="C19" i="2"/>
  <c r="I22" i="2"/>
  <c r="F22" i="2"/>
  <c r="C22" i="2"/>
  <c r="AC47" i="5" l="1"/>
  <c r="AC46" i="5"/>
  <c r="AC45" i="5"/>
  <c r="AC44" i="5"/>
  <c r="AC43" i="5"/>
  <c r="AC42" i="5"/>
  <c r="AC41" i="5"/>
  <c r="AC40" i="5"/>
  <c r="AC39" i="5"/>
  <c r="AC38" i="5"/>
  <c r="AC37" i="5"/>
  <c r="AC36" i="5"/>
  <c r="AC35" i="5"/>
  <c r="AC34" i="5"/>
  <c r="AC33" i="5"/>
  <c r="AC32" i="5"/>
  <c r="AC31" i="5"/>
  <c r="AC30" i="5"/>
  <c r="AC29" i="5"/>
  <c r="AC28" i="5"/>
  <c r="AC27" i="5"/>
  <c r="AC26" i="5"/>
  <c r="AC25" i="5"/>
  <c r="AC24" i="5"/>
  <c r="AB47" i="5"/>
  <c r="AB46" i="5"/>
  <c r="AB45" i="5"/>
  <c r="AB44" i="5"/>
  <c r="AB43" i="5"/>
  <c r="AB42" i="5"/>
  <c r="AB41" i="5"/>
  <c r="AB40" i="5"/>
  <c r="AB39" i="5"/>
  <c r="AB38" i="5"/>
  <c r="AB37" i="5"/>
  <c r="AB36" i="5"/>
  <c r="AB35" i="5"/>
  <c r="AB34" i="5"/>
  <c r="AB33" i="5"/>
  <c r="AB32" i="5"/>
  <c r="AB31" i="5"/>
  <c r="AB30" i="5"/>
  <c r="AB29" i="5"/>
  <c r="AB28" i="5"/>
  <c r="AB27" i="5"/>
  <c r="AB26" i="5"/>
  <c r="AB25" i="5"/>
  <c r="AB24" i="5"/>
  <c r="AA47" i="5"/>
  <c r="AA46" i="5"/>
  <c r="AA45" i="5"/>
  <c r="AA44" i="5"/>
  <c r="AA43" i="5"/>
  <c r="AA42" i="5"/>
  <c r="AA41" i="5"/>
  <c r="AA40" i="5"/>
  <c r="AA39" i="5"/>
  <c r="AA38" i="5"/>
  <c r="AA37" i="5"/>
  <c r="AA36" i="5"/>
  <c r="AA35" i="5"/>
  <c r="AA34" i="5"/>
  <c r="AA33" i="5"/>
  <c r="AA32" i="5"/>
  <c r="AA31" i="5"/>
  <c r="AA30" i="5"/>
  <c r="AA29" i="5"/>
  <c r="AA28" i="5"/>
  <c r="AA27" i="5"/>
  <c r="AA26" i="5"/>
  <c r="AA25" i="5"/>
  <c r="AA24" i="5"/>
  <c r="Z47" i="5"/>
  <c r="Z46" i="5"/>
  <c r="Z45" i="5"/>
  <c r="Z44" i="5"/>
  <c r="Z43" i="5"/>
  <c r="Z42" i="5"/>
  <c r="Z41" i="5"/>
  <c r="Z40" i="5"/>
  <c r="Z39" i="5"/>
  <c r="Z38" i="5"/>
  <c r="Z37" i="5"/>
  <c r="Z36" i="5"/>
  <c r="Z35" i="5"/>
  <c r="Z34" i="5"/>
  <c r="Z33" i="5"/>
  <c r="Z32" i="5"/>
  <c r="Z31" i="5"/>
  <c r="Z30" i="5"/>
  <c r="Z29" i="5"/>
  <c r="Z28" i="5"/>
  <c r="Z27" i="5"/>
  <c r="Z26" i="5"/>
  <c r="Z25" i="5"/>
  <c r="Z24" i="5"/>
  <c r="Y47" i="5"/>
  <c r="Y46" i="5"/>
  <c r="Y45" i="5"/>
  <c r="Y44" i="5"/>
  <c r="Y43" i="5"/>
  <c r="Y42" i="5"/>
  <c r="Y41" i="5"/>
  <c r="Y40" i="5"/>
  <c r="Y39" i="5"/>
  <c r="Y38" i="5"/>
  <c r="Y37" i="5"/>
  <c r="Y36" i="5"/>
  <c r="Y35" i="5"/>
  <c r="Y34" i="5"/>
  <c r="Y33" i="5"/>
  <c r="Y32" i="5"/>
  <c r="Y31" i="5"/>
  <c r="Y30" i="5"/>
  <c r="Y29" i="5"/>
  <c r="Y28" i="5"/>
  <c r="Y27" i="5"/>
  <c r="Y26" i="5"/>
  <c r="Y25" i="5"/>
  <c r="Y24" i="5"/>
  <c r="X47" i="5"/>
  <c r="X46" i="5"/>
  <c r="X45" i="5"/>
  <c r="X44" i="5"/>
  <c r="X43" i="5"/>
  <c r="X42" i="5"/>
  <c r="X41" i="5"/>
  <c r="X40" i="5"/>
  <c r="X39" i="5"/>
  <c r="X38" i="5"/>
  <c r="X37" i="5"/>
  <c r="X36" i="5"/>
  <c r="X35" i="5"/>
  <c r="X34" i="5"/>
  <c r="X33" i="5"/>
  <c r="X32" i="5"/>
  <c r="X31" i="5"/>
  <c r="X30" i="5"/>
  <c r="X29" i="5"/>
  <c r="X28" i="5"/>
  <c r="X27" i="5"/>
  <c r="X26" i="5"/>
  <c r="X25" i="5"/>
  <c r="X24" i="5"/>
  <c r="W47" i="5"/>
  <c r="W46" i="5"/>
  <c r="W45" i="5"/>
  <c r="W44" i="5"/>
  <c r="W43" i="5"/>
  <c r="W42" i="5"/>
  <c r="W41" i="5"/>
  <c r="W40" i="5"/>
  <c r="W39" i="5"/>
  <c r="W38" i="5"/>
  <c r="W37" i="5"/>
  <c r="W36" i="5"/>
  <c r="W35" i="5"/>
  <c r="W34" i="5"/>
  <c r="W33" i="5"/>
  <c r="W32" i="5"/>
  <c r="W31" i="5"/>
  <c r="W30" i="5"/>
  <c r="W29" i="5"/>
  <c r="W28" i="5"/>
  <c r="W27" i="5"/>
  <c r="W26" i="5"/>
  <c r="W25" i="5"/>
  <c r="W24" i="5"/>
  <c r="V47" i="5"/>
  <c r="V46" i="5"/>
  <c r="V45" i="5"/>
  <c r="V44" i="5"/>
  <c r="V43" i="5"/>
  <c r="V42" i="5"/>
  <c r="V41" i="5"/>
  <c r="V40" i="5"/>
  <c r="V39" i="5"/>
  <c r="V38" i="5"/>
  <c r="V37" i="5"/>
  <c r="V36" i="5"/>
  <c r="V35" i="5"/>
  <c r="V34" i="5"/>
  <c r="V33" i="5"/>
  <c r="V32" i="5"/>
  <c r="V31" i="5"/>
  <c r="V30" i="5"/>
  <c r="V29" i="5"/>
  <c r="V28" i="5"/>
  <c r="V27" i="5"/>
  <c r="V26" i="5"/>
  <c r="V25" i="5"/>
  <c r="V24" i="5"/>
  <c r="U47" i="5"/>
  <c r="U46" i="5"/>
  <c r="U45" i="5"/>
  <c r="U44" i="5"/>
  <c r="U43" i="5"/>
  <c r="U42" i="5"/>
  <c r="U41" i="5"/>
  <c r="U40" i="5"/>
  <c r="U39" i="5"/>
  <c r="U38" i="5"/>
  <c r="U37" i="5"/>
  <c r="U36" i="5"/>
  <c r="U35" i="5"/>
  <c r="U34" i="5"/>
  <c r="U33" i="5"/>
  <c r="U32" i="5"/>
  <c r="U31" i="5"/>
  <c r="U30" i="5"/>
  <c r="U29" i="5"/>
  <c r="U28" i="5"/>
  <c r="U27" i="5"/>
  <c r="U26" i="5"/>
  <c r="U25" i="5"/>
  <c r="U24" i="5"/>
  <c r="T47" i="5"/>
  <c r="T46" i="5"/>
  <c r="T45" i="5"/>
  <c r="T44" i="5"/>
  <c r="T43" i="5"/>
  <c r="T42" i="5"/>
  <c r="T41" i="5"/>
  <c r="T40" i="5"/>
  <c r="T39" i="5"/>
  <c r="T38" i="5"/>
  <c r="T37" i="5"/>
  <c r="T36" i="5"/>
  <c r="T35" i="5"/>
  <c r="T34" i="5"/>
  <c r="T33" i="5"/>
  <c r="T32" i="5"/>
  <c r="T31" i="5"/>
  <c r="T30" i="5"/>
  <c r="T29" i="5"/>
  <c r="T28" i="5"/>
  <c r="T27" i="5"/>
  <c r="T26" i="5"/>
  <c r="T25" i="5"/>
  <c r="T24" i="5"/>
  <c r="S24" i="5"/>
  <c r="S25" i="5"/>
  <c r="S26" i="5"/>
  <c r="S27" i="5"/>
  <c r="S28" i="5"/>
  <c r="S29" i="5"/>
  <c r="S30" i="5"/>
  <c r="S31" i="5"/>
  <c r="S32" i="5"/>
  <c r="S33" i="5"/>
  <c r="S34" i="5"/>
  <c r="S35" i="5"/>
  <c r="S36" i="5"/>
  <c r="S37" i="5"/>
  <c r="S38" i="5"/>
  <c r="S39" i="5"/>
  <c r="S40" i="5"/>
  <c r="S41" i="5"/>
  <c r="S42" i="5"/>
  <c r="S43" i="5"/>
  <c r="S44" i="5"/>
  <c r="S45" i="5"/>
  <c r="S46" i="5"/>
  <c r="S47" i="5"/>
  <c r="F22" i="7"/>
  <c r="H22" i="7" s="1"/>
  <c r="C22" i="7"/>
  <c r="E22" i="7" s="1"/>
  <c r="I19" i="7"/>
  <c r="K19" i="7" s="1"/>
  <c r="F19" i="7"/>
  <c r="H19" i="7" s="1"/>
  <c r="C19" i="7"/>
  <c r="E19" i="7" s="1"/>
  <c r="AS5" i="5"/>
  <c r="AS6" i="5"/>
  <c r="AS7" i="5"/>
  <c r="AS8" i="5"/>
  <c r="AS9" i="5"/>
  <c r="AS10" i="5"/>
  <c r="AS11" i="5"/>
  <c r="AS12" i="5"/>
  <c r="AS13" i="5"/>
  <c r="AS14" i="5"/>
  <c r="AS15" i="5"/>
  <c r="AS16" i="5"/>
  <c r="AS17" i="5"/>
  <c r="AS18" i="5"/>
  <c r="AS19" i="5"/>
  <c r="AS20" i="5"/>
  <c r="AS21" i="5"/>
  <c r="AS22" i="5"/>
  <c r="AS23" i="5"/>
  <c r="AS24" i="5"/>
  <c r="AS25" i="5"/>
  <c r="AS26" i="5"/>
  <c r="AS27" i="5"/>
  <c r="AS28" i="5"/>
  <c r="AS29" i="5"/>
  <c r="AS30" i="5"/>
  <c r="AS31" i="5"/>
  <c r="AS32" i="5"/>
  <c r="AS33" i="5"/>
  <c r="AS34" i="5"/>
  <c r="AS35" i="5"/>
  <c r="AS36" i="5"/>
  <c r="AS37" i="5"/>
  <c r="AS38" i="5"/>
  <c r="AS39" i="5"/>
  <c r="AS40" i="5"/>
  <c r="AS41" i="5"/>
  <c r="AS42" i="5"/>
  <c r="AS43" i="5"/>
  <c r="AS44" i="5"/>
  <c r="AS45" i="5"/>
  <c r="AS46" i="5"/>
  <c r="AS47" i="5"/>
  <c r="AS48" i="5"/>
  <c r="AS49" i="5"/>
  <c r="AS50" i="5"/>
  <c r="AS51" i="5"/>
  <c r="AS52" i="5"/>
  <c r="AS53" i="5"/>
  <c r="AS54" i="5"/>
  <c r="AS55" i="5"/>
  <c r="AS56" i="5"/>
  <c r="AS57" i="5"/>
  <c r="AS58" i="5"/>
  <c r="AS59" i="5"/>
  <c r="AS60" i="5"/>
  <c r="AS61" i="5"/>
  <c r="AS62" i="5"/>
  <c r="AS63" i="5"/>
  <c r="AS64" i="5"/>
  <c r="AS65" i="5"/>
  <c r="AS66" i="5"/>
  <c r="AS67" i="5"/>
  <c r="AS68" i="5"/>
  <c r="AS69" i="5"/>
  <c r="AS70" i="5"/>
  <c r="AS71" i="5"/>
  <c r="AS72" i="5"/>
  <c r="AS73" i="5"/>
  <c r="AS74" i="5"/>
  <c r="AS75" i="5"/>
  <c r="AS76" i="5"/>
  <c r="AS77" i="5"/>
  <c r="AS78" i="5"/>
  <c r="AS79" i="5"/>
  <c r="AS80" i="5"/>
  <c r="AS81" i="5"/>
  <c r="AS82" i="5"/>
  <c r="AS83" i="5"/>
  <c r="AS84" i="5"/>
  <c r="AS85" i="5"/>
  <c r="AS86" i="5"/>
  <c r="AS87" i="5"/>
  <c r="AS88" i="5"/>
  <c r="AS89" i="5"/>
  <c r="AS90" i="5"/>
  <c r="AS91" i="5"/>
  <c r="AS92" i="5"/>
  <c r="AS93" i="5"/>
  <c r="AS94" i="5"/>
  <c r="AS95" i="5"/>
  <c r="AS96" i="5"/>
  <c r="AS97" i="5"/>
  <c r="AS98" i="5"/>
  <c r="AS99" i="5"/>
  <c r="AS100" i="5"/>
  <c r="AS101" i="5"/>
  <c r="AS102" i="5"/>
  <c r="AS103" i="5"/>
  <c r="AS104" i="5"/>
  <c r="AS4" i="5"/>
  <c r="I21" i="7"/>
  <c r="K21" i="7" s="1"/>
  <c r="I20" i="7"/>
  <c r="K20" i="7" s="1"/>
  <c r="I18" i="7"/>
  <c r="K18" i="7" s="1"/>
  <c r="F21" i="7"/>
  <c r="H21" i="7" s="1"/>
  <c r="F20" i="7"/>
  <c r="H20" i="7" s="1"/>
  <c r="F18" i="7"/>
  <c r="H18" i="7" s="1"/>
  <c r="C21" i="7"/>
  <c r="E21" i="7" s="1"/>
  <c r="C20" i="7"/>
  <c r="E20" i="7" s="1"/>
  <c r="C18" i="7"/>
  <c r="E18" i="7" s="1"/>
  <c r="I21" i="2"/>
  <c r="I20" i="2"/>
  <c r="F21" i="2"/>
  <c r="F20" i="2"/>
  <c r="C21" i="2"/>
  <c r="I15" i="7"/>
  <c r="K15" i="7" s="1"/>
  <c r="F15" i="7"/>
  <c r="H15" i="7" s="1"/>
  <c r="C15" i="7"/>
  <c r="E15" i="7" s="1"/>
  <c r="I15" i="2"/>
  <c r="K15" i="2" s="1"/>
  <c r="F15" i="2"/>
  <c r="H15" i="2" s="1"/>
  <c r="E15" i="2"/>
  <c r="L23" i="7"/>
  <c r="J23" i="7"/>
  <c r="G23" i="7"/>
  <c r="D23" i="7"/>
  <c r="I17" i="7" l="1"/>
  <c r="I17" i="2"/>
  <c r="K17" i="2" s="1"/>
  <c r="F17" i="7"/>
  <c r="F17" i="2"/>
  <c r="C17" i="7"/>
  <c r="E17" i="7" s="1"/>
  <c r="C17" i="2"/>
  <c r="E13" i="7"/>
  <c r="K13" i="7"/>
  <c r="H13" i="7"/>
  <c r="R47" i="5"/>
  <c r="R46" i="5"/>
  <c r="R45" i="5"/>
  <c r="R44" i="5"/>
  <c r="R43" i="5"/>
  <c r="R42" i="5"/>
  <c r="R41" i="5"/>
  <c r="R40" i="5"/>
  <c r="R39" i="5"/>
  <c r="R38" i="5"/>
  <c r="R37" i="5"/>
  <c r="R36" i="5"/>
  <c r="R35" i="5"/>
  <c r="R34" i="5"/>
  <c r="R33" i="5"/>
  <c r="R32" i="5"/>
  <c r="R31" i="5"/>
  <c r="R30" i="5"/>
  <c r="R29" i="5"/>
  <c r="R28" i="5"/>
  <c r="R27" i="5"/>
  <c r="R26" i="5"/>
  <c r="R25" i="5"/>
  <c r="R24" i="5"/>
  <c r="P71" i="5"/>
  <c r="P70" i="5"/>
  <c r="P69" i="5"/>
  <c r="P68" i="5"/>
  <c r="P67" i="5"/>
  <c r="P66" i="5"/>
  <c r="P65" i="5"/>
  <c r="P64" i="5"/>
  <c r="P63" i="5"/>
  <c r="P62" i="5"/>
  <c r="P61" i="5"/>
  <c r="P60" i="5"/>
  <c r="P59" i="5"/>
  <c r="P58" i="5"/>
  <c r="P57" i="5"/>
  <c r="P56" i="5"/>
  <c r="P55" i="5"/>
  <c r="P54" i="5"/>
  <c r="P53" i="5"/>
  <c r="P52" i="5"/>
  <c r="P51" i="5"/>
  <c r="P50" i="5"/>
  <c r="P49" i="5"/>
  <c r="P48" i="5"/>
  <c r="P47" i="5"/>
  <c r="P46" i="5"/>
  <c r="P45" i="5"/>
  <c r="P44" i="5"/>
  <c r="P43" i="5"/>
  <c r="P42" i="5"/>
  <c r="P41" i="5"/>
  <c r="P40" i="5"/>
  <c r="P39" i="5"/>
  <c r="P38" i="5"/>
  <c r="P37" i="5"/>
  <c r="P36" i="5"/>
  <c r="P35" i="5"/>
  <c r="P34" i="5"/>
  <c r="P33" i="5"/>
  <c r="P32" i="5"/>
  <c r="P31" i="5"/>
  <c r="P30" i="5"/>
  <c r="P29" i="5"/>
  <c r="P28" i="5"/>
  <c r="P27" i="5"/>
  <c r="P26" i="5"/>
  <c r="P25" i="5"/>
  <c r="P24" i="5"/>
  <c r="Q47" i="5"/>
  <c r="Q46" i="5"/>
  <c r="Q45" i="5"/>
  <c r="Q44" i="5"/>
  <c r="Q43" i="5"/>
  <c r="Q42" i="5"/>
  <c r="Q41" i="5"/>
  <c r="Q40" i="5"/>
  <c r="Q39" i="5"/>
  <c r="Q38" i="5"/>
  <c r="Q37" i="5"/>
  <c r="Q36" i="5"/>
  <c r="Q35" i="5"/>
  <c r="Q34" i="5"/>
  <c r="Q33" i="5"/>
  <c r="Q32" i="5"/>
  <c r="Q31" i="5"/>
  <c r="Q30" i="5"/>
  <c r="Q29" i="5"/>
  <c r="Q28" i="5"/>
  <c r="Q27" i="5"/>
  <c r="Q26" i="5"/>
  <c r="Q25" i="5"/>
  <c r="Q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P72" i="5" s="1"/>
  <c r="O73" i="5"/>
  <c r="P73" i="5" s="1"/>
  <c r="O74" i="5"/>
  <c r="P74" i="5" s="1"/>
  <c r="O75" i="5"/>
  <c r="P75" i="5" s="1"/>
  <c r="O76" i="5"/>
  <c r="P76" i="5" s="1"/>
  <c r="O77" i="5"/>
  <c r="P77" i="5" s="1"/>
  <c r="O78" i="5"/>
  <c r="P78" i="5" s="1"/>
  <c r="O79" i="5"/>
  <c r="P79" i="5" s="1"/>
  <c r="O80" i="5"/>
  <c r="P80" i="5" s="1"/>
  <c r="O81" i="5"/>
  <c r="P81" i="5" s="1"/>
  <c r="O82" i="5"/>
  <c r="P82" i="5" s="1"/>
  <c r="O83" i="5"/>
  <c r="P83" i="5" s="1"/>
  <c r="O84" i="5"/>
  <c r="P84" i="5" s="1"/>
  <c r="O85" i="5"/>
  <c r="P85" i="5" s="1"/>
  <c r="O86" i="5"/>
  <c r="P86" i="5" s="1"/>
  <c r="O87" i="5"/>
  <c r="P87" i="5" s="1"/>
  <c r="O88" i="5"/>
  <c r="P88" i="5" s="1"/>
  <c r="O89" i="5"/>
  <c r="P89" i="5" s="1"/>
  <c r="O90" i="5"/>
  <c r="P90" i="5" s="1"/>
  <c r="O91" i="5"/>
  <c r="P91" i="5" s="1"/>
  <c r="O92" i="5"/>
  <c r="P92" i="5" s="1"/>
  <c r="O93" i="5"/>
  <c r="P93" i="5" s="1"/>
  <c r="O94" i="5"/>
  <c r="P94" i="5" s="1"/>
  <c r="O95" i="5"/>
  <c r="P95" i="5" s="1"/>
  <c r="O96" i="5"/>
  <c r="P96" i="5" s="1"/>
  <c r="Q96" i="5" s="1"/>
  <c r="O97" i="5"/>
  <c r="P97" i="5" s="1"/>
  <c r="Q97" i="5" s="1"/>
  <c r="O98" i="5"/>
  <c r="P98" i="5" s="1"/>
  <c r="Q98" i="5" s="1"/>
  <c r="O99" i="5"/>
  <c r="P99" i="5" s="1"/>
  <c r="Q99" i="5" s="1"/>
  <c r="O100" i="5"/>
  <c r="P100" i="5" s="1"/>
  <c r="Q100" i="5" s="1"/>
  <c r="O101" i="5"/>
  <c r="P101" i="5" s="1"/>
  <c r="Q101" i="5" s="1"/>
  <c r="O102" i="5"/>
  <c r="P102" i="5" s="1"/>
  <c r="Q102" i="5" s="1"/>
  <c r="O103" i="5"/>
  <c r="P103" i="5" s="1"/>
  <c r="Q103" i="5" s="1"/>
  <c r="O104" i="5"/>
  <c r="P104" i="5" s="1"/>
  <c r="Q104" i="5" s="1"/>
  <c r="O24" i="5"/>
  <c r="J35" i="6"/>
  <c r="E19" i="2"/>
  <c r="H19" i="2"/>
  <c r="I14" i="7" l="1"/>
  <c r="K14" i="7" s="1"/>
  <c r="I14" i="2"/>
  <c r="K14" i="2" s="1"/>
  <c r="U96" i="5"/>
  <c r="AC96" i="5"/>
  <c r="AB96" i="5"/>
  <c r="T96" i="5"/>
  <c r="S96" i="5"/>
  <c r="AA96" i="5"/>
  <c r="V96" i="5"/>
  <c r="W96" i="5"/>
  <c r="Z96" i="5"/>
  <c r="Y96" i="5"/>
  <c r="X96" i="5"/>
  <c r="U48" i="5"/>
  <c r="T48" i="5"/>
  <c r="S48" i="5"/>
  <c r="AB48" i="5"/>
  <c r="AC48" i="5"/>
  <c r="AA48" i="5"/>
  <c r="Z48" i="5"/>
  <c r="W48" i="5"/>
  <c r="V48" i="5"/>
  <c r="X48" i="5"/>
  <c r="Y48" i="5"/>
  <c r="V95" i="5"/>
  <c r="AC95" i="5"/>
  <c r="U95" i="5"/>
  <c r="T95" i="5"/>
  <c r="S95" i="5"/>
  <c r="AB95" i="5"/>
  <c r="X95" i="5"/>
  <c r="W95" i="5"/>
  <c r="AA95" i="5"/>
  <c r="Z95" i="5"/>
  <c r="Y95" i="5"/>
  <c r="W78" i="5"/>
  <c r="V78" i="5"/>
  <c r="U78" i="5"/>
  <c r="T78" i="5"/>
  <c r="S78" i="5"/>
  <c r="AC78" i="5"/>
  <c r="Y78" i="5"/>
  <c r="AB78" i="5"/>
  <c r="Z78" i="5"/>
  <c r="AA78" i="5"/>
  <c r="X78" i="5"/>
  <c r="X93" i="5"/>
  <c r="W93" i="5"/>
  <c r="V93" i="5"/>
  <c r="U93" i="5"/>
  <c r="T93" i="5"/>
  <c r="S93" i="5"/>
  <c r="AC93" i="5"/>
  <c r="AA93" i="5"/>
  <c r="Y93" i="5"/>
  <c r="AB93" i="5"/>
  <c r="Z93" i="5"/>
  <c r="U64" i="5"/>
  <c r="T64" i="5"/>
  <c r="S64" i="5"/>
  <c r="AB64" i="5"/>
  <c r="AA64" i="5"/>
  <c r="AC64" i="5"/>
  <c r="W64" i="5"/>
  <c r="X64" i="5"/>
  <c r="Y64" i="5"/>
  <c r="Z64" i="5"/>
  <c r="V64" i="5"/>
  <c r="V79" i="5"/>
  <c r="AB79" i="5"/>
  <c r="U79" i="5"/>
  <c r="T79" i="5"/>
  <c r="S79" i="5"/>
  <c r="AC79" i="5"/>
  <c r="W79" i="5"/>
  <c r="Y79" i="5"/>
  <c r="Z79" i="5"/>
  <c r="X79" i="5"/>
  <c r="AA79" i="5"/>
  <c r="Y60" i="5"/>
  <c r="X60" i="5"/>
  <c r="W60" i="5"/>
  <c r="V60" i="5"/>
  <c r="U60" i="5"/>
  <c r="T60" i="5"/>
  <c r="S60" i="5"/>
  <c r="AA60" i="5"/>
  <c r="Z60" i="5"/>
  <c r="AB60" i="5"/>
  <c r="AC60" i="5"/>
  <c r="Z75" i="5"/>
  <c r="S75" i="5"/>
  <c r="Y75" i="5"/>
  <c r="X75" i="5"/>
  <c r="W75" i="5"/>
  <c r="V75" i="5"/>
  <c r="U75" i="5"/>
  <c r="T75" i="5"/>
  <c r="AA75" i="5"/>
  <c r="AB75" i="5"/>
  <c r="AC75" i="5"/>
  <c r="AA74" i="5"/>
  <c r="Z74" i="5"/>
  <c r="Y74" i="5"/>
  <c r="X74" i="5"/>
  <c r="W74" i="5"/>
  <c r="V74" i="5"/>
  <c r="T74" i="5"/>
  <c r="S74" i="5"/>
  <c r="U74" i="5"/>
  <c r="AB74" i="5"/>
  <c r="AC74" i="5"/>
  <c r="AB73" i="5"/>
  <c r="AA73" i="5"/>
  <c r="Z73" i="5"/>
  <c r="Y73" i="5"/>
  <c r="X73" i="5"/>
  <c r="U73" i="5"/>
  <c r="S73" i="5"/>
  <c r="W73" i="5"/>
  <c r="T73" i="5"/>
  <c r="V73" i="5"/>
  <c r="AC73" i="5"/>
  <c r="X54" i="5"/>
  <c r="AC54" i="5"/>
  <c r="AB54" i="5"/>
  <c r="AA54" i="5"/>
  <c r="Z54" i="5"/>
  <c r="W54" i="5"/>
  <c r="V54" i="5"/>
  <c r="Y54" i="5"/>
  <c r="U54" i="5"/>
  <c r="T54" i="5"/>
  <c r="S54" i="5"/>
  <c r="AC85" i="5"/>
  <c r="AB85" i="5"/>
  <c r="W85" i="5"/>
  <c r="AA85" i="5"/>
  <c r="Z85" i="5"/>
  <c r="Y85" i="5"/>
  <c r="X85" i="5"/>
  <c r="S85" i="5"/>
  <c r="V85" i="5"/>
  <c r="T85" i="5"/>
  <c r="U85" i="5"/>
  <c r="AC84" i="5"/>
  <c r="Z84" i="5"/>
  <c r="AB84" i="5"/>
  <c r="Y84" i="5"/>
  <c r="X84" i="5"/>
  <c r="W84" i="5"/>
  <c r="AA84" i="5"/>
  <c r="T84" i="5"/>
  <c r="S84" i="5"/>
  <c r="V84" i="5"/>
  <c r="U84" i="5"/>
  <c r="U80" i="5"/>
  <c r="AA80" i="5"/>
  <c r="T80" i="5"/>
  <c r="S80" i="5"/>
  <c r="AC80" i="5"/>
  <c r="AB80" i="5"/>
  <c r="V80" i="5"/>
  <c r="Y80" i="5"/>
  <c r="W80" i="5"/>
  <c r="Z80" i="5"/>
  <c r="X80" i="5"/>
  <c r="V63" i="5"/>
  <c r="U63" i="5"/>
  <c r="T63" i="5"/>
  <c r="S63" i="5"/>
  <c r="AB63" i="5"/>
  <c r="AC63" i="5"/>
  <c r="Z63" i="5"/>
  <c r="W63" i="5"/>
  <c r="X63" i="5"/>
  <c r="AA63" i="5"/>
  <c r="Y63" i="5"/>
  <c r="W62" i="5"/>
  <c r="AC62" i="5"/>
  <c r="V62" i="5"/>
  <c r="U62" i="5"/>
  <c r="T62" i="5"/>
  <c r="S62" i="5"/>
  <c r="AB62" i="5"/>
  <c r="Z62" i="5"/>
  <c r="AA62" i="5"/>
  <c r="Y62" i="5"/>
  <c r="X62" i="5"/>
  <c r="X77" i="5"/>
  <c r="W77" i="5"/>
  <c r="V77" i="5"/>
  <c r="U77" i="5"/>
  <c r="T77" i="5"/>
  <c r="S77" i="5"/>
  <c r="Y77" i="5"/>
  <c r="AB77" i="5"/>
  <c r="AC77" i="5"/>
  <c r="AA77" i="5"/>
  <c r="Z77" i="5"/>
  <c r="Y76" i="5"/>
  <c r="X76" i="5"/>
  <c r="W76" i="5"/>
  <c r="V76" i="5"/>
  <c r="U76" i="5"/>
  <c r="T76" i="5"/>
  <c r="S76" i="5"/>
  <c r="AA76" i="5"/>
  <c r="AC76" i="5"/>
  <c r="AB76" i="5"/>
  <c r="Z76" i="5"/>
  <c r="AA58" i="5"/>
  <c r="T58" i="5"/>
  <c r="Z58" i="5"/>
  <c r="Y58" i="5"/>
  <c r="X58" i="5"/>
  <c r="W58" i="5"/>
  <c r="S58" i="5"/>
  <c r="V58" i="5"/>
  <c r="U58" i="5"/>
  <c r="AB58" i="5"/>
  <c r="AC58" i="5"/>
  <c r="AB89" i="5"/>
  <c r="AA89" i="5"/>
  <c r="Z89" i="5"/>
  <c r="Y89" i="5"/>
  <c r="X89" i="5"/>
  <c r="W89" i="5"/>
  <c r="U89" i="5"/>
  <c r="S89" i="5"/>
  <c r="V89" i="5"/>
  <c r="T89" i="5"/>
  <c r="AC89" i="5"/>
  <c r="AB57" i="5"/>
  <c r="T57" i="5"/>
  <c r="S57" i="5"/>
  <c r="AA57" i="5"/>
  <c r="Z57" i="5"/>
  <c r="Y57" i="5"/>
  <c r="X57" i="5"/>
  <c r="W57" i="5"/>
  <c r="V57" i="5"/>
  <c r="U57" i="5"/>
  <c r="AC57" i="5"/>
  <c r="AC88" i="5"/>
  <c r="AB88" i="5"/>
  <c r="AA88" i="5"/>
  <c r="Z88" i="5"/>
  <c r="Y88" i="5"/>
  <c r="V88" i="5"/>
  <c r="U88" i="5"/>
  <c r="X88" i="5"/>
  <c r="W88" i="5"/>
  <c r="T88" i="5"/>
  <c r="S88" i="5"/>
  <c r="AC56" i="5"/>
  <c r="AB56" i="5"/>
  <c r="AA56" i="5"/>
  <c r="Z56" i="5"/>
  <c r="Y56" i="5"/>
  <c r="V56" i="5"/>
  <c r="T56" i="5"/>
  <c r="X56" i="5"/>
  <c r="U56" i="5"/>
  <c r="W56" i="5"/>
  <c r="S56" i="5"/>
  <c r="AC87" i="5"/>
  <c r="AB87" i="5"/>
  <c r="AA87" i="5"/>
  <c r="Z87" i="5"/>
  <c r="W87" i="5"/>
  <c r="U87" i="5"/>
  <c r="Y87" i="5"/>
  <c r="V87" i="5"/>
  <c r="X87" i="5"/>
  <c r="T87" i="5"/>
  <c r="S87" i="5"/>
  <c r="AC55" i="5"/>
  <c r="AB55" i="5"/>
  <c r="AA55" i="5"/>
  <c r="Z55" i="5"/>
  <c r="W55" i="5"/>
  <c r="Y55" i="5"/>
  <c r="X55" i="5"/>
  <c r="V55" i="5"/>
  <c r="U55" i="5"/>
  <c r="T55" i="5"/>
  <c r="S55" i="5"/>
  <c r="AC102" i="5"/>
  <c r="AB102" i="5"/>
  <c r="AA102" i="5"/>
  <c r="Z102" i="5"/>
  <c r="V102" i="5"/>
  <c r="Y102" i="5"/>
  <c r="X102" i="5"/>
  <c r="W102" i="5"/>
  <c r="S102" i="5"/>
  <c r="U102" i="5"/>
  <c r="T102" i="5"/>
  <c r="AC101" i="5"/>
  <c r="AB101" i="5"/>
  <c r="Y101" i="5"/>
  <c r="AA101" i="5"/>
  <c r="X101" i="5"/>
  <c r="Z101" i="5"/>
  <c r="W101" i="5"/>
  <c r="T101" i="5"/>
  <c r="U101" i="5"/>
  <c r="S101" i="5"/>
  <c r="V101" i="5"/>
  <c r="AC53" i="5"/>
  <c r="AB53" i="5"/>
  <c r="X53" i="5"/>
  <c r="AA53" i="5"/>
  <c r="Z53" i="5"/>
  <c r="Y53" i="5"/>
  <c r="W53" i="5"/>
  <c r="V53" i="5"/>
  <c r="U53" i="5"/>
  <c r="S53" i="5"/>
  <c r="T53" i="5"/>
  <c r="AC68" i="5"/>
  <c r="AB68" i="5"/>
  <c r="AA68" i="5"/>
  <c r="Z68" i="5"/>
  <c r="Y68" i="5"/>
  <c r="X68" i="5"/>
  <c r="W68" i="5"/>
  <c r="U68" i="5"/>
  <c r="T68" i="5"/>
  <c r="V68" i="5"/>
  <c r="S68" i="5"/>
  <c r="AA99" i="5"/>
  <c r="X99" i="5"/>
  <c r="AC99" i="5"/>
  <c r="Z99" i="5"/>
  <c r="AB99" i="5"/>
  <c r="Y99" i="5"/>
  <c r="V99" i="5"/>
  <c r="W99" i="5"/>
  <c r="U99" i="5"/>
  <c r="T99" i="5"/>
  <c r="S99" i="5"/>
  <c r="Z67" i="5"/>
  <c r="AA67" i="5"/>
  <c r="AC67" i="5"/>
  <c r="Y67" i="5"/>
  <c r="X67" i="5"/>
  <c r="AB67" i="5"/>
  <c r="V67" i="5"/>
  <c r="T67" i="5"/>
  <c r="S67" i="5"/>
  <c r="W67" i="5"/>
  <c r="U67" i="5"/>
  <c r="S82" i="5"/>
  <c r="AA82" i="5"/>
  <c r="AB82" i="5"/>
  <c r="Z82" i="5"/>
  <c r="AC82" i="5"/>
  <c r="Y82" i="5"/>
  <c r="X82" i="5"/>
  <c r="W82" i="5"/>
  <c r="V82" i="5"/>
  <c r="U82" i="5"/>
  <c r="T82" i="5"/>
  <c r="S66" i="5"/>
  <c r="Z66" i="5"/>
  <c r="Y66" i="5"/>
  <c r="AC66" i="5"/>
  <c r="AB66" i="5"/>
  <c r="AA66" i="5"/>
  <c r="X66" i="5"/>
  <c r="W66" i="5"/>
  <c r="U66" i="5"/>
  <c r="T66" i="5"/>
  <c r="V66" i="5"/>
  <c r="AA50" i="5"/>
  <c r="AB50" i="5"/>
  <c r="Y50" i="5"/>
  <c r="S50" i="5"/>
  <c r="Z50" i="5"/>
  <c r="AC50" i="5"/>
  <c r="X50" i="5"/>
  <c r="T50" i="5"/>
  <c r="W50" i="5"/>
  <c r="V50" i="5"/>
  <c r="U50" i="5"/>
  <c r="AC70" i="5"/>
  <c r="AB70" i="5"/>
  <c r="AA70" i="5"/>
  <c r="W70" i="5"/>
  <c r="Z70" i="5"/>
  <c r="Y70" i="5"/>
  <c r="X70" i="5"/>
  <c r="V70" i="5"/>
  <c r="U70" i="5"/>
  <c r="T70" i="5"/>
  <c r="S70" i="5"/>
  <c r="W94" i="5"/>
  <c r="V94" i="5"/>
  <c r="U94" i="5"/>
  <c r="T94" i="5"/>
  <c r="S94" i="5"/>
  <c r="AC94" i="5"/>
  <c r="Y94" i="5"/>
  <c r="AB94" i="5"/>
  <c r="Z94" i="5"/>
  <c r="X94" i="5"/>
  <c r="AA94" i="5"/>
  <c r="X61" i="5"/>
  <c r="W61" i="5"/>
  <c r="V61" i="5"/>
  <c r="U61" i="5"/>
  <c r="T61" i="5"/>
  <c r="S61" i="5"/>
  <c r="AC61" i="5"/>
  <c r="AA61" i="5"/>
  <c r="Y61" i="5"/>
  <c r="AB61" i="5"/>
  <c r="Z61" i="5"/>
  <c r="Y92" i="5"/>
  <c r="X92" i="5"/>
  <c r="W92" i="5"/>
  <c r="V92" i="5"/>
  <c r="U92" i="5"/>
  <c r="T92" i="5"/>
  <c r="S92" i="5"/>
  <c r="Z92" i="5"/>
  <c r="AC92" i="5"/>
  <c r="AA92" i="5"/>
  <c r="AB92" i="5"/>
  <c r="Z91" i="5"/>
  <c r="Y91" i="5"/>
  <c r="X91" i="5"/>
  <c r="W91" i="5"/>
  <c r="V91" i="5"/>
  <c r="U91" i="5"/>
  <c r="S91" i="5"/>
  <c r="T91" i="5"/>
  <c r="AB91" i="5"/>
  <c r="AC91" i="5"/>
  <c r="AA91" i="5"/>
  <c r="Z59" i="5"/>
  <c r="Y59" i="5"/>
  <c r="X59" i="5"/>
  <c r="W59" i="5"/>
  <c r="V59" i="5"/>
  <c r="S59" i="5"/>
  <c r="U59" i="5"/>
  <c r="T59" i="5"/>
  <c r="AB59" i="5"/>
  <c r="AC59" i="5"/>
  <c r="AA59" i="5"/>
  <c r="AA90" i="5"/>
  <c r="S90" i="5"/>
  <c r="Z90" i="5"/>
  <c r="Y90" i="5"/>
  <c r="X90" i="5"/>
  <c r="W90" i="5"/>
  <c r="V90" i="5"/>
  <c r="U90" i="5"/>
  <c r="T90" i="5"/>
  <c r="AB90" i="5"/>
  <c r="AC90" i="5"/>
  <c r="AC104" i="5"/>
  <c r="U104" i="5"/>
  <c r="AB104" i="5"/>
  <c r="AA104" i="5"/>
  <c r="Z104" i="5"/>
  <c r="Y104" i="5"/>
  <c r="V104" i="5"/>
  <c r="T104" i="5"/>
  <c r="X104" i="5"/>
  <c r="W104" i="5"/>
  <c r="S104" i="5"/>
  <c r="AC72" i="5"/>
  <c r="AB72" i="5"/>
  <c r="AA72" i="5"/>
  <c r="Z72" i="5"/>
  <c r="Y72" i="5"/>
  <c r="X72" i="5"/>
  <c r="T72" i="5"/>
  <c r="W72" i="5"/>
  <c r="V72" i="5"/>
  <c r="U72" i="5"/>
  <c r="S72" i="5"/>
  <c r="V103" i="5"/>
  <c r="AC103" i="5"/>
  <c r="AB103" i="5"/>
  <c r="AA103" i="5"/>
  <c r="Z103" i="5"/>
  <c r="Y103" i="5"/>
  <c r="W103" i="5"/>
  <c r="X103" i="5"/>
  <c r="U103" i="5"/>
  <c r="T103" i="5"/>
  <c r="S103" i="5"/>
  <c r="W86" i="5"/>
  <c r="AC86" i="5"/>
  <c r="AB86" i="5"/>
  <c r="AA86" i="5"/>
  <c r="X86" i="5"/>
  <c r="V86" i="5"/>
  <c r="Z86" i="5"/>
  <c r="Y86" i="5"/>
  <c r="U86" i="5"/>
  <c r="S86" i="5"/>
  <c r="T86" i="5"/>
  <c r="X69" i="5"/>
  <c r="AC69" i="5"/>
  <c r="AB69" i="5"/>
  <c r="Y69" i="5"/>
  <c r="AA69" i="5"/>
  <c r="W69" i="5"/>
  <c r="Z69" i="5"/>
  <c r="U69" i="5"/>
  <c r="S69" i="5"/>
  <c r="V69" i="5"/>
  <c r="T69" i="5"/>
  <c r="Y100" i="5"/>
  <c r="X100" i="5"/>
  <c r="AC100" i="5"/>
  <c r="AB100" i="5"/>
  <c r="AA100" i="5"/>
  <c r="Z100" i="5"/>
  <c r="W100" i="5"/>
  <c r="U100" i="5"/>
  <c r="T100" i="5"/>
  <c r="S100" i="5"/>
  <c r="V100" i="5"/>
  <c r="AC52" i="5"/>
  <c r="Z52" i="5"/>
  <c r="Y52" i="5"/>
  <c r="AB52" i="5"/>
  <c r="X52" i="5"/>
  <c r="S52" i="5"/>
  <c r="AA52" i="5"/>
  <c r="W52" i="5"/>
  <c r="V52" i="5"/>
  <c r="U52" i="5"/>
  <c r="T52" i="5"/>
  <c r="Y83" i="5"/>
  <c r="AC83" i="5"/>
  <c r="AB83" i="5"/>
  <c r="AA83" i="5"/>
  <c r="Z83" i="5"/>
  <c r="X83" i="5"/>
  <c r="W83" i="5"/>
  <c r="V83" i="5"/>
  <c r="U83" i="5"/>
  <c r="T83" i="5"/>
  <c r="S83" i="5"/>
  <c r="S51" i="5"/>
  <c r="Z51" i="5"/>
  <c r="X51" i="5"/>
  <c r="AC51" i="5"/>
  <c r="AB51" i="5"/>
  <c r="AA51" i="5"/>
  <c r="Y51" i="5"/>
  <c r="T51" i="5"/>
  <c r="W51" i="5"/>
  <c r="V51" i="5"/>
  <c r="U51" i="5"/>
  <c r="S98" i="5"/>
  <c r="AA98" i="5"/>
  <c r="Y98" i="5"/>
  <c r="AC98" i="5"/>
  <c r="AB98" i="5"/>
  <c r="Z98" i="5"/>
  <c r="T98" i="5"/>
  <c r="X98" i="5"/>
  <c r="V98" i="5"/>
  <c r="W98" i="5"/>
  <c r="U98" i="5"/>
  <c r="T97" i="5"/>
  <c r="AB97" i="5"/>
  <c r="Z97" i="5"/>
  <c r="S97" i="5"/>
  <c r="AA97" i="5"/>
  <c r="AC97" i="5"/>
  <c r="X97" i="5"/>
  <c r="Y97" i="5"/>
  <c r="U97" i="5"/>
  <c r="V97" i="5"/>
  <c r="W97" i="5"/>
  <c r="T81" i="5"/>
  <c r="S81" i="5"/>
  <c r="AC81" i="5"/>
  <c r="AB81" i="5"/>
  <c r="Z81" i="5"/>
  <c r="AA81" i="5"/>
  <c r="V81" i="5"/>
  <c r="U81" i="5"/>
  <c r="X81" i="5"/>
  <c r="Y81" i="5"/>
  <c r="W81" i="5"/>
  <c r="T65" i="5"/>
  <c r="AB65" i="5"/>
  <c r="S65" i="5"/>
  <c r="AC65" i="5"/>
  <c r="AA65" i="5"/>
  <c r="Z65" i="5"/>
  <c r="X65" i="5"/>
  <c r="W65" i="5"/>
  <c r="V65" i="5"/>
  <c r="Y65" i="5"/>
  <c r="U65" i="5"/>
  <c r="T49" i="5"/>
  <c r="AA49" i="5"/>
  <c r="Z49" i="5"/>
  <c r="S49" i="5"/>
  <c r="AC49" i="5"/>
  <c r="AB49" i="5"/>
  <c r="U49" i="5"/>
  <c r="X49" i="5"/>
  <c r="W49" i="5"/>
  <c r="V49" i="5"/>
  <c r="Y49" i="5"/>
  <c r="AC71" i="5"/>
  <c r="AB71" i="5"/>
  <c r="AA71" i="5"/>
  <c r="Z71" i="5"/>
  <c r="V71" i="5"/>
  <c r="Y71" i="5"/>
  <c r="U71" i="5"/>
  <c r="X71" i="5"/>
  <c r="W71" i="5"/>
  <c r="T71" i="5"/>
  <c r="S71" i="5"/>
  <c r="R67" i="5"/>
  <c r="R51" i="5"/>
  <c r="R52" i="5"/>
  <c r="R66" i="5"/>
  <c r="R50" i="5"/>
  <c r="R65" i="5"/>
  <c r="R49" i="5"/>
  <c r="Q71" i="5"/>
  <c r="R68" i="5"/>
  <c r="R64" i="5"/>
  <c r="R48" i="5"/>
  <c r="R63" i="5"/>
  <c r="Q62" i="5"/>
  <c r="R69" i="5"/>
  <c r="Q61" i="5"/>
  <c r="R53" i="5"/>
  <c r="Q55" i="5"/>
  <c r="Q51" i="5"/>
  <c r="Q58" i="5"/>
  <c r="K17" i="7"/>
  <c r="R55" i="5"/>
  <c r="R57" i="5"/>
  <c r="R58" i="5"/>
  <c r="Q57" i="5"/>
  <c r="Q50" i="5"/>
  <c r="R54" i="5"/>
  <c r="C14" i="2" s="1"/>
  <c r="Q59" i="5"/>
  <c r="Q63" i="5"/>
  <c r="Q66" i="5"/>
  <c r="Q67" i="5"/>
  <c r="R91" i="5"/>
  <c r="Q91" i="5"/>
  <c r="R75" i="5"/>
  <c r="Q75" i="5"/>
  <c r="Q74" i="5"/>
  <c r="R74" i="5"/>
  <c r="Q88" i="5"/>
  <c r="R88" i="5"/>
  <c r="R103" i="5"/>
  <c r="Q87" i="5"/>
  <c r="R87" i="5"/>
  <c r="Q73" i="5"/>
  <c r="R73" i="5"/>
  <c r="Q72" i="5"/>
  <c r="R72" i="5"/>
  <c r="R76" i="5"/>
  <c r="Q76" i="5"/>
  <c r="Q90" i="5"/>
  <c r="R90" i="5"/>
  <c r="R104" i="5"/>
  <c r="R102" i="5"/>
  <c r="R101" i="5"/>
  <c r="R85" i="5"/>
  <c r="Q85" i="5"/>
  <c r="Q89" i="5"/>
  <c r="R89" i="5"/>
  <c r="Q86" i="5"/>
  <c r="R86" i="5"/>
  <c r="R100" i="5"/>
  <c r="R84" i="5"/>
  <c r="Q84" i="5"/>
  <c r="Q92" i="5"/>
  <c r="R92" i="5"/>
  <c r="R99" i="5"/>
  <c r="R83" i="5"/>
  <c r="Q83" i="5"/>
  <c r="R98" i="5"/>
  <c r="Q82" i="5"/>
  <c r="R82" i="5"/>
  <c r="R97" i="5"/>
  <c r="Q81" i="5"/>
  <c r="R81" i="5"/>
  <c r="R96" i="5"/>
  <c r="R80" i="5"/>
  <c r="Q80" i="5"/>
  <c r="R95" i="5"/>
  <c r="Q95" i="5"/>
  <c r="R79" i="5"/>
  <c r="Q79" i="5"/>
  <c r="R94" i="5"/>
  <c r="Q94" i="5"/>
  <c r="R78" i="5"/>
  <c r="Q78" i="5"/>
  <c r="R93" i="5"/>
  <c r="Q93" i="5"/>
  <c r="R77" i="5"/>
  <c r="Q77" i="5"/>
  <c r="R70" i="5"/>
  <c r="Q48" i="5"/>
  <c r="R71" i="5"/>
  <c r="Q64" i="5"/>
  <c r="Q49" i="5"/>
  <c r="Q65" i="5"/>
  <c r="R56" i="5"/>
  <c r="Q52" i="5"/>
  <c r="Q68" i="5"/>
  <c r="R59" i="5"/>
  <c r="Q53" i="5"/>
  <c r="Q69" i="5"/>
  <c r="R60" i="5"/>
  <c r="Q54" i="5"/>
  <c r="Q70" i="5"/>
  <c r="R61" i="5"/>
  <c r="R62" i="5"/>
  <c r="Q56" i="5"/>
  <c r="Q60" i="5"/>
  <c r="H16" i="2"/>
  <c r="E17" i="2"/>
  <c r="H17" i="2"/>
  <c r="I18" i="2"/>
  <c r="K18" i="2" s="1"/>
  <c r="F18" i="2"/>
  <c r="H18" i="2" s="1"/>
  <c r="C18" i="2"/>
  <c r="E18" i="2" s="1"/>
  <c r="K22" i="2"/>
  <c r="H22" i="2"/>
  <c r="K21" i="2"/>
  <c r="H21" i="2"/>
  <c r="K20" i="2"/>
  <c r="H20" i="2"/>
  <c r="E22" i="2"/>
  <c r="E21" i="2"/>
  <c r="E20" i="2"/>
  <c r="F14" i="7" l="1"/>
  <c r="H14" i="7" s="1"/>
  <c r="F14" i="2"/>
  <c r="H14" i="2" s="1"/>
  <c r="C23" i="2"/>
  <c r="M24" i="2" s="1"/>
  <c r="C14" i="7"/>
  <c r="E14" i="7" s="1"/>
  <c r="K16" i="2"/>
  <c r="H17" i="7"/>
  <c r="H16" i="7"/>
  <c r="K16" i="7"/>
  <c r="E16" i="7"/>
  <c r="J23" i="2"/>
  <c r="G23" i="2"/>
  <c r="D23" i="2"/>
  <c r="N24" i="2" s="1"/>
  <c r="L23" i="2"/>
  <c r="E14" i="2" l="1"/>
  <c r="F23" i="7"/>
  <c r="H23" i="7" s="1"/>
  <c r="F23" i="2"/>
  <c r="H23" i="2" s="1"/>
  <c r="C23" i="7"/>
  <c r="E23" i="7" s="1"/>
  <c r="E23" i="2"/>
  <c r="I19" i="2"/>
  <c r="I23" i="2" s="1"/>
  <c r="I22" i="7"/>
  <c r="K22" i="7" s="1"/>
  <c r="O24" i="2" l="1"/>
  <c r="I23" i="7"/>
  <c r="K23" i="7" s="1"/>
  <c r="M25" i="7" s="1" a="1"/>
  <c r="M25" i="7" s="1"/>
  <c r="K19" i="2"/>
  <c r="K23" i="2" s="1"/>
  <c r="M25" i="2" s="1"/>
  <c r="M27" i="2" l="1"/>
  <c r="M26" i="2" s="1"/>
  <c r="M27" i="7" a="1"/>
  <c r="M27" i="7" s="1"/>
  <c r="M26" i="7" s="1" a="1"/>
  <c r="M26" i="7" s="1"/>
  <c r="P25" i="7" s="1"/>
  <c r="P2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Agathe Wilquin</author>
  </authors>
  <commentList>
    <comment ref="AV6" authorId="0" shapeId="0" xr:uid="{3B43625B-DE7A-4BBB-9855-73281F62D4A0}">
      <text>
        <r>
          <rPr>
            <sz val="9"/>
            <color indexed="81"/>
            <rFont val="Tahoma"/>
            <family val="2"/>
          </rPr>
          <t>RTT et CF compris</t>
        </r>
      </text>
    </comment>
    <comment ref="AV9" authorId="0" shapeId="0" xr:uid="{425782DF-BEA4-4E73-B7FA-967C7E398808}">
      <text>
        <r>
          <rPr>
            <sz val="9"/>
            <color indexed="81"/>
            <rFont val="Tahoma"/>
            <family val="2"/>
          </rPr>
          <t>Hors RTT et CF</t>
        </r>
      </text>
    </comment>
    <comment ref="AV12" authorId="0" shapeId="0" xr:uid="{0C23E765-FD16-47FA-9E8E-C0DCB28E08BB}">
      <text>
        <r>
          <rPr>
            <sz val="9"/>
            <color indexed="81"/>
            <rFont val="Tahoma"/>
            <family val="2"/>
          </rPr>
          <t>Hors CF</t>
        </r>
      </text>
    </comment>
    <comment ref="AV15" authorId="0" shapeId="0" xr:uid="{22C4889F-5E8C-4B5F-9519-4E21F18600D5}">
      <text>
        <r>
          <rPr>
            <sz val="9"/>
            <color indexed="81"/>
            <rFont val="Tahoma"/>
            <family val="2"/>
          </rPr>
          <t>Hors RTT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<sst xmlns="http://schemas.openxmlformats.org/spreadsheetml/2006/main" count="211" uniqueCount="147">
  <si>
    <t>Référentiel</t>
  </si>
  <si>
    <t>Onglet complété et verrouillé en amont de la diffusion  - à ne pas modifier ultérieurement</t>
  </si>
  <si>
    <t>Indicateur</t>
  </si>
  <si>
    <t>Valeur</t>
  </si>
  <si>
    <t>Unité</t>
  </si>
  <si>
    <t>Obligations réglementaires</t>
  </si>
  <si>
    <t>Effectif minimal de médecins seniors pour assurer la permanence médicale de l'USIC</t>
  </si>
  <si>
    <t>Demi-journées</t>
  </si>
  <si>
    <t>Hypothèses organisationnelles</t>
  </si>
  <si>
    <t>Effectif médical requis pour assurer une vacation sur un poste d'imagerie cardiaque/bloc coronaire/bloc rythmo</t>
  </si>
  <si>
    <t>Effectif médical requis pour assurer une vacation de consultations externes</t>
  </si>
  <si>
    <t>Durée d'une garde</t>
  </si>
  <si>
    <t>Durée moyenne d'une consultation interne</t>
  </si>
  <si>
    <t>Minutes</t>
  </si>
  <si>
    <t>Taux d'occupation cible d'un HDJ</t>
  </si>
  <si>
    <t xml:space="preserve">Pourcentage </t>
  </si>
  <si>
    <t>Nombre de consultations réalisées en HDJ sur une demi-journées</t>
  </si>
  <si>
    <t>Consultations</t>
  </si>
  <si>
    <t>Durée moyenne d'une demi-journée</t>
  </si>
  <si>
    <t>Heures</t>
  </si>
  <si>
    <t>Caractéristiques légales du temps de travail</t>
  </si>
  <si>
    <t>Nombre de jours fériés</t>
  </si>
  <si>
    <t>Journées</t>
  </si>
  <si>
    <t>Nombre de congés annuels</t>
  </si>
  <si>
    <t xml:space="preserve">Journée de solidarité </t>
  </si>
  <si>
    <t>Hypothèses relatives au calcul des ETP</t>
  </si>
  <si>
    <t>Pourcentage</t>
  </si>
  <si>
    <t>Temps non posté moyen par médecin senior à temps plein par semaine</t>
  </si>
  <si>
    <t>Temps non posté moyen par chef de service par semaine</t>
  </si>
  <si>
    <t>USIC</t>
  </si>
  <si>
    <t>Nom de l'établissement :</t>
  </si>
  <si>
    <t>En semaine standard</t>
  </si>
  <si>
    <t>En semaine de vacances scolaires sans fermeture de lits</t>
  </si>
  <si>
    <t>En semaine de vacances scolaires avec fermeture de lits</t>
  </si>
  <si>
    <t>Nombre de semaines standards</t>
  </si>
  <si>
    <t>Nombre de semaines de vacances scolaires sans fermeture de lits</t>
  </si>
  <si>
    <t>Nombre de semaines de vacances scolaires avec fermeture de lits</t>
  </si>
  <si>
    <t xml:space="preserve">Nom du centre hospitalier : </t>
  </si>
  <si>
    <t xml:space="preserve">En croisant les caractéristiques de votre service avec notre référentiel, nous obtenons les besoins suivants en effectifs médicaux : </t>
  </si>
  <si>
    <t>Nombre de demi-journées médecins postées en semaine (du lundi matin au samedi midi)</t>
  </si>
  <si>
    <t>Nombre de demi-journées médecins postées en week-end</t>
  </si>
  <si>
    <r>
      <rPr>
        <sz val="14"/>
        <color theme="1"/>
        <rFont val="Quire Sans Pro Light"/>
        <family val="2"/>
        <scheme val="minor"/>
      </rPr>
      <t>En semaine</t>
    </r>
    <r>
      <rPr>
        <b/>
        <sz val="14"/>
        <color theme="1"/>
        <rFont val="Quire Sans Pro Light"/>
        <family val="2"/>
        <scheme val="minor"/>
      </rPr>
      <t xml:space="preserve"> standard</t>
    </r>
  </si>
  <si>
    <r>
      <rPr>
        <sz val="14"/>
        <color theme="1"/>
        <rFont val="Quire Sans Pro Light"/>
        <family val="2"/>
        <scheme val="minor"/>
      </rPr>
      <t>En semaine de vacances scolaires</t>
    </r>
    <r>
      <rPr>
        <b/>
        <sz val="14"/>
        <color theme="1"/>
        <rFont val="Quire Sans Pro Light"/>
        <family val="2"/>
        <scheme val="minor"/>
      </rPr>
      <t xml:space="preserve"> sans fermeture de lits</t>
    </r>
  </si>
  <si>
    <r>
      <rPr>
        <sz val="14"/>
        <color theme="1"/>
        <rFont val="Quire Sans Pro Light"/>
        <family val="2"/>
        <scheme val="minor"/>
      </rPr>
      <t>En semaine de vacances scolaires</t>
    </r>
    <r>
      <rPr>
        <b/>
        <sz val="14"/>
        <color theme="1"/>
        <rFont val="Quire Sans Pro Light"/>
        <family val="2"/>
        <scheme val="minor"/>
      </rPr>
      <t xml:space="preserve"> avec fermeture de lits</t>
    </r>
  </si>
  <si>
    <r>
      <t xml:space="preserve">Week-end </t>
    </r>
    <r>
      <rPr>
        <sz val="14"/>
        <color theme="1"/>
        <rFont val="Quire Sans Pro Light"/>
        <family val="2"/>
        <scheme val="minor"/>
      </rPr>
      <t>(mêmes modalités à chaque période verte/orange/rouge)</t>
    </r>
  </si>
  <si>
    <t xml:space="preserve">Index : </t>
  </si>
  <si>
    <t>Garde</t>
  </si>
  <si>
    <t>Total (sans atreinte)</t>
  </si>
  <si>
    <t>Pendant la journée</t>
  </si>
  <si>
    <t xml:space="preserve">USIC inclut bip d'urgence, échos réalisées en USIC et avis SAU. </t>
  </si>
  <si>
    <t>Hospitalisation conventionnelle</t>
  </si>
  <si>
    <t xml:space="preserve">Le plateau d'imagerie inclut les ETT, ETO, ETT de stress, écho cardiovasculaire, IRM cardiaque et coroscanner. </t>
  </si>
  <si>
    <t>USC</t>
  </si>
  <si>
    <t>HDJ et HDS</t>
  </si>
  <si>
    <t>Plateau de rythmo non interventionnelle = contrôles d'implants rythmologiques, holters</t>
  </si>
  <si>
    <t>Consultations internes (avis)</t>
  </si>
  <si>
    <t>Rythmo interventionnelle = choc électrique, ablations, stimulations, implantations, électrophysiologie, etc.</t>
  </si>
  <si>
    <t>Consultations externes</t>
  </si>
  <si>
    <t>Plateau imagerie cardiaque</t>
  </si>
  <si>
    <t>Bloc de cardio interventionnelle</t>
  </si>
  <si>
    <t>Bloc de rythmo interventionnelle</t>
  </si>
  <si>
    <t>Plateau de rythmo non interv.</t>
  </si>
  <si>
    <t xml:space="preserve">Total </t>
  </si>
  <si>
    <t>Médecins seniors :</t>
  </si>
  <si>
    <t>ETP</t>
  </si>
  <si>
    <r>
      <t xml:space="preserve">USIC </t>
    </r>
    <r>
      <rPr>
        <b/>
        <sz val="14"/>
        <color rgb="FF191919"/>
        <rFont val="Quire Sans Pro Light"/>
        <family val="2"/>
        <scheme val="minor"/>
      </rPr>
      <t>(en heures)</t>
    </r>
  </si>
  <si>
    <t>Total (hors USIC)</t>
  </si>
  <si>
    <t>Usic</t>
  </si>
  <si>
    <t>HC</t>
  </si>
  <si>
    <t>HDJ</t>
  </si>
  <si>
    <t>HDS</t>
  </si>
  <si>
    <t xml:space="preserve">Consultations internes  </t>
  </si>
  <si>
    <t>Calcul d'ETP</t>
  </si>
  <si>
    <t>Cas</t>
  </si>
  <si>
    <t>Nombre de lits d'USIC</t>
  </si>
  <si>
    <t>Semaine 
Nombre de demi-journées postées par semaine en médecins seniors</t>
  </si>
  <si>
    <t>Semaine (avec 1 interne)</t>
  </si>
  <si>
    <t>Semaine (avec 2 internes)</t>
  </si>
  <si>
    <t>Semaine (avec 3 internes)</t>
  </si>
  <si>
    <t>Semaine (avec 4 internes)</t>
  </si>
  <si>
    <t>Semaine (avec 5 internes)</t>
  </si>
  <si>
    <t>Gardes (semaine)
Nombre de demi-journées postées par semaine en médecins seniors</t>
  </si>
  <si>
    <t>Week-end
Nombre de demi-journées postées par we en médecins seniors</t>
  </si>
  <si>
    <t>Nombre de lits d'HC</t>
  </si>
  <si>
    <t>Semaine (avec 1 internes)</t>
  </si>
  <si>
    <t>Semaine (avec 6 internes)</t>
  </si>
  <si>
    <t>Semaine (avec 7 internes)</t>
  </si>
  <si>
    <t>Semaine (avec 8 internes)</t>
  </si>
  <si>
    <t>Semaine (avec 9 internes)</t>
  </si>
  <si>
    <t>Semaine (avec 10 internes)</t>
  </si>
  <si>
    <t>Semaine (avec 11 internes)</t>
  </si>
  <si>
    <t>Semaine (avec 12 internes)</t>
  </si>
  <si>
    <t>Semaine (avec 13 internes)</t>
  </si>
  <si>
    <t>Semaine (avec 14 internes)</t>
  </si>
  <si>
    <t>Semaine (avec 15 internes)</t>
  </si>
  <si>
    <t>Nombre de lits d'USC</t>
  </si>
  <si>
    <t>Nombre de places d'HDJ</t>
  </si>
  <si>
    <t>Nombre de lits d'HDS</t>
  </si>
  <si>
    <t xml:space="preserve">Nombre de consultations internes  </t>
  </si>
  <si>
    <t>Nombre de demi journées postées par semaine en médecins séniors</t>
  </si>
  <si>
    <t>Caractéristiques</t>
  </si>
  <si>
    <t>Nombre de DJ pour  1 ETP</t>
  </si>
  <si>
    <t>Nombre d'heures pour 1 ETP</t>
  </si>
  <si>
    <t>Nombre de demi-journées/heures de présence sur site (en retirant les absences)</t>
  </si>
  <si>
    <t>Nombre de demi-journées/heures de T posté (en retirant le T non posté)</t>
  </si>
  <si>
    <t>Nombre de demi-journées/heures de T non postées en plus par le chef de service</t>
  </si>
  <si>
    <t xml:space="preserve">Nombre d'internes </t>
  </si>
  <si>
    <t>Pour les demi-journées : considérer un service sans présence d'internes</t>
  </si>
  <si>
    <t>Nombre de demi-journées nécessaires pour que le service fonctionne correctement</t>
  </si>
  <si>
    <r>
      <t xml:space="preserve">En annexe, vous trouverez un </t>
    </r>
    <r>
      <rPr>
        <b/>
        <sz val="12"/>
        <color theme="1"/>
        <rFont val="Quire Sans Pro Light"/>
        <family val="2"/>
        <scheme val="minor"/>
      </rPr>
      <t>support PPT</t>
    </r>
    <r>
      <rPr>
        <sz val="12"/>
        <color theme="1"/>
        <rFont val="Quire Sans Pro Light"/>
        <family val="2"/>
        <scheme val="minor"/>
      </rPr>
      <t xml:space="preserve"> qui jusitife et explique en détail toutes les composantes de cet outil de dimensionnement telles que :
- les hypothèses retenues dans cet onglet "référentiel"
- les précisions sur certaines nomenclatures
- les méthodes et hypothèses de calcul qui permettent d'obtenir l'estimation des effectifs nécessaires dans l'onglet "Résultats"</t>
    </r>
  </si>
  <si>
    <t xml:space="preserve">Taux moyen d'absentéisme dans les hôpitaux français </t>
  </si>
  <si>
    <t>Nombre de week-ends</t>
  </si>
  <si>
    <r>
      <t xml:space="preserve">Nombre de </t>
    </r>
    <r>
      <rPr>
        <b/>
        <sz val="14"/>
        <color theme="1"/>
        <rFont val="Quire Sans Pro Light"/>
        <family val="2"/>
        <scheme val="minor"/>
      </rPr>
      <t>lits</t>
    </r>
    <r>
      <rPr>
        <sz val="14"/>
        <color theme="1"/>
        <rFont val="Quire Sans Pro Light"/>
        <family val="2"/>
        <scheme val="minor"/>
      </rPr>
      <t xml:space="preserve"> USIC ouverts</t>
    </r>
  </si>
  <si>
    <r>
      <t xml:space="preserve">Nombre de </t>
    </r>
    <r>
      <rPr>
        <b/>
        <sz val="14"/>
        <color theme="1"/>
        <rFont val="Quire Sans Pro Light"/>
        <family val="2"/>
        <scheme val="minor"/>
      </rPr>
      <t>lits</t>
    </r>
    <r>
      <rPr>
        <sz val="14"/>
        <color theme="1"/>
        <rFont val="Quire Sans Pro Light"/>
        <family val="2"/>
        <scheme val="minor"/>
      </rPr>
      <t xml:space="preserve"> HC ouverts</t>
    </r>
  </si>
  <si>
    <r>
      <t xml:space="preserve">Nombre de </t>
    </r>
    <r>
      <rPr>
        <b/>
        <sz val="14"/>
        <color theme="1"/>
        <rFont val="Quire Sans Pro Light"/>
        <family val="2"/>
        <scheme val="minor"/>
      </rPr>
      <t>lits</t>
    </r>
    <r>
      <rPr>
        <sz val="14"/>
        <color theme="1"/>
        <rFont val="Quire Sans Pro Light"/>
        <family val="2"/>
        <scheme val="minor"/>
      </rPr>
      <t xml:space="preserve"> HDS ouverts</t>
    </r>
  </si>
  <si>
    <r>
      <t xml:space="preserve">Nombre de </t>
    </r>
    <r>
      <rPr>
        <b/>
        <sz val="14"/>
        <color theme="1"/>
        <rFont val="Quire Sans Pro Light"/>
        <family val="2"/>
        <scheme val="minor"/>
      </rPr>
      <t>places</t>
    </r>
    <r>
      <rPr>
        <sz val="14"/>
        <color theme="1"/>
        <rFont val="Quire Sans Pro Light"/>
        <family val="2"/>
        <scheme val="minor"/>
      </rPr>
      <t xml:space="preserve"> HDJ ouverts</t>
    </r>
  </si>
  <si>
    <r>
      <t xml:space="preserve">Nombre de </t>
    </r>
    <r>
      <rPr>
        <b/>
        <sz val="14"/>
        <color theme="1"/>
        <rFont val="Quire Sans Pro Light"/>
        <family val="2"/>
        <scheme val="minor"/>
      </rPr>
      <t>lits</t>
    </r>
    <r>
      <rPr>
        <sz val="14"/>
        <color theme="1"/>
        <rFont val="Quire Sans Pro Light"/>
        <family val="2"/>
        <scheme val="minor"/>
      </rPr>
      <t xml:space="preserve"> d'USC ouverts</t>
    </r>
  </si>
  <si>
    <r>
      <rPr>
        <b/>
        <sz val="14"/>
        <color theme="1"/>
        <rFont val="Quire Sans Pro Light"/>
        <family val="2"/>
        <scheme val="minor"/>
      </rPr>
      <t xml:space="preserve">Nombre de demi-journées </t>
    </r>
    <r>
      <rPr>
        <sz val="14"/>
        <color theme="1"/>
        <rFont val="Quire Sans Pro Light"/>
        <family val="2"/>
        <scheme val="minor"/>
      </rPr>
      <t>séniors nécessaires à la réalisation des activités relatives à rythmologie non invasive :
Holter - contrôle de stimulateur et de DAI</t>
    </r>
  </si>
  <si>
    <r>
      <rPr>
        <b/>
        <sz val="14"/>
        <color theme="1"/>
        <rFont val="Quire Sans Pro Light"/>
        <family val="2"/>
        <scheme val="minor"/>
      </rPr>
      <t xml:space="preserve">Nombre de demi-journées séniors </t>
    </r>
    <r>
      <rPr>
        <sz val="14"/>
        <color theme="1"/>
        <rFont val="Quire Sans Pro Light"/>
        <family val="2"/>
        <scheme val="minor"/>
      </rPr>
      <t>consacrées à la réalisation des activités relatives à l'imagerie médicale :
ETT - ETO - Echo de stress - Echo vasculaire - Scanner coronaire - Test à l'effort-IRM cardiaque (hors échos faites au lit du malade en USIC)</t>
    </r>
  </si>
  <si>
    <r>
      <t>Nombre de</t>
    </r>
    <r>
      <rPr>
        <b/>
        <sz val="14"/>
        <color theme="1"/>
        <rFont val="Quire Sans Pro Light"/>
        <family val="2"/>
        <scheme val="minor"/>
      </rPr>
      <t xml:space="preserve"> demi-journées </t>
    </r>
    <r>
      <rPr>
        <sz val="14"/>
        <color theme="1"/>
        <rFont val="Quire Sans Pro Light"/>
        <family val="2"/>
        <scheme val="minor"/>
      </rPr>
      <t>séniors en cardiologie interventionnelle</t>
    </r>
  </si>
  <si>
    <r>
      <t xml:space="preserve">Nombre de </t>
    </r>
    <r>
      <rPr>
        <b/>
        <sz val="14"/>
        <color theme="1"/>
        <rFont val="Quire Sans Pro Light"/>
        <family val="2"/>
        <scheme val="minor"/>
      </rPr>
      <t>demi-journées</t>
    </r>
    <r>
      <rPr>
        <sz val="14"/>
        <color theme="1"/>
        <rFont val="Quire Sans Pro Light"/>
        <family val="2"/>
        <scheme val="minor"/>
      </rPr>
      <t xml:space="preserve"> séniors en blocs de rythmologie invasive</t>
    </r>
  </si>
  <si>
    <r>
      <t xml:space="preserve">Nombre de </t>
    </r>
    <r>
      <rPr>
        <b/>
        <sz val="14"/>
        <color theme="1"/>
        <rFont val="Quire Sans Pro Light"/>
        <family val="2"/>
        <scheme val="minor"/>
      </rPr>
      <t>demi-journées</t>
    </r>
    <r>
      <rPr>
        <sz val="14"/>
        <color theme="1"/>
        <rFont val="Quire Sans Pro Light"/>
        <family val="2"/>
        <scheme val="minor"/>
      </rPr>
      <t xml:space="preserve"> de consultations externes</t>
    </r>
  </si>
  <si>
    <r>
      <t xml:space="preserve">Nombre moyen </t>
    </r>
    <r>
      <rPr>
        <b/>
        <sz val="14"/>
        <color theme="1"/>
        <rFont val="Quire Sans Pro Light"/>
        <family val="2"/>
        <scheme val="minor"/>
      </rPr>
      <t>d'avis</t>
    </r>
    <r>
      <rPr>
        <sz val="14"/>
        <color theme="1"/>
        <rFont val="Quire Sans Pro Light"/>
        <family val="2"/>
        <scheme val="minor"/>
      </rPr>
      <t xml:space="preserve"> (consultations internes) par semaine (we compris)</t>
    </r>
  </si>
  <si>
    <r>
      <t>Caractéristiques du nombre de jours travaillés annule par médecin sénior : Nombre de</t>
    </r>
    <r>
      <rPr>
        <b/>
        <sz val="14"/>
        <color theme="1"/>
        <rFont val="Quire Sans Pro Light"/>
        <family val="2"/>
        <scheme val="minor"/>
      </rPr>
      <t xml:space="preserve"> jours de RTT </t>
    </r>
  </si>
  <si>
    <r>
      <t xml:space="preserve">Caractéristiques du nombre de jours travaillés annuel par médecin sénior Nombre de </t>
    </r>
    <r>
      <rPr>
        <b/>
        <sz val="14"/>
        <color theme="1"/>
        <rFont val="Quire Sans Pro Light"/>
        <family val="2"/>
        <scheme val="minor"/>
      </rPr>
      <t>jours de formation</t>
    </r>
    <r>
      <rPr>
        <sz val="14"/>
        <color theme="1"/>
        <rFont val="Quire Sans Pro Light"/>
        <family val="2"/>
        <scheme val="minor"/>
      </rPr>
      <t xml:space="preserve"> </t>
    </r>
  </si>
  <si>
    <t xml:space="preserve">Nombre de demi-journées/heures exigibles statutairement (hors RTT et formations) </t>
  </si>
  <si>
    <t>Nombre de demi-journées/heures RTT et formations</t>
  </si>
  <si>
    <t>Nombre de demi-journées/heures exigibles statutairement</t>
  </si>
  <si>
    <t>Nombre de demi-journées/heures de présence sur site (en retirant les absences) (hors RTT et formations) )</t>
  </si>
  <si>
    <t xml:space="preserve">Nombre de demi-journées/heures de T posté (en retirant le T non posté) (hors RTT et formations) </t>
  </si>
  <si>
    <r>
      <t xml:space="preserve">Week-end </t>
    </r>
    <r>
      <rPr>
        <sz val="14"/>
        <color theme="1"/>
        <rFont val="Quire Sans Pro Light"/>
        <family val="2"/>
        <scheme val="minor"/>
      </rPr>
      <t xml:space="preserve">(mêmes modalités à chaque période de l'année) </t>
    </r>
  </si>
  <si>
    <r>
      <t xml:space="preserve">Onglet à compléter selon les caractéristiques de son service avant de consulter l'onglet "Résultats". 
</t>
    </r>
    <r>
      <rPr>
        <b/>
        <sz val="18"/>
        <color theme="9" tint="-0.249977111117893"/>
        <rFont val="Quire Sans Pro Light"/>
        <family val="2"/>
        <scheme val="minor"/>
      </rPr>
      <t xml:space="preserve">L'ensemble des cases indiquées de la couleur violette sont à compléter. </t>
    </r>
  </si>
  <si>
    <t>Résultats - Dimensionnement des effectifs séniors</t>
  </si>
  <si>
    <t>Résultats (avec USIC en temps continu) - Dimensionnement des effectifs séniors</t>
  </si>
  <si>
    <r>
      <t xml:space="preserve">Avec l'intégration </t>
    </r>
    <r>
      <rPr>
        <b/>
        <u/>
        <sz val="14"/>
        <color theme="3"/>
        <rFont val="Quire Sans Pro Light"/>
        <family val="2"/>
        <scheme val="minor"/>
      </rPr>
      <t>des internes</t>
    </r>
    <r>
      <rPr>
        <b/>
        <sz val="14"/>
        <color theme="3"/>
        <rFont val="Quire Sans Pro Light"/>
        <family val="2"/>
        <scheme val="minor"/>
      </rPr>
      <t xml:space="preserve">, du temps de travail non posté, du taux d'absentéisme, nous estimons votre besoin en effectifs médicaux seniors à : </t>
    </r>
  </si>
  <si>
    <t xml:space="preserve">Nombre de demi-journées/heures exigibles statutairement (hors formations) </t>
  </si>
  <si>
    <t>Nombre de demi-journées/heures de présence sur site (en retirant les absences) (hors formations) )</t>
  </si>
  <si>
    <t xml:space="preserve">Nombre de demi-journées/heures de T posté (en retirant le T non posté) (hors formations) </t>
  </si>
  <si>
    <t>Besoin addition en effectifs séniors pour assurer les RTT</t>
  </si>
  <si>
    <t>Besoin additionnel pour assurer les CF</t>
  </si>
  <si>
    <t xml:space="preserve">Périmètre des unités : </t>
  </si>
  <si>
    <t>USIC : inclut bip d'urgence, échos réalisées en USIC et avis SAU</t>
  </si>
  <si>
    <t>Plateau d'imagerie : inclut ETT, ETO, ETT de stress, écho cardiovasculaire, IRM cardiaque et coroscanner</t>
  </si>
  <si>
    <t>Plateau de rythmo non interventionnelle : contrôles d'implants rythmologiques, holters</t>
  </si>
  <si>
    <t>Rythmo interventionnelle : choc électrique, ablations, stimulations, implantations, électrophysiologie, etc.</t>
  </si>
  <si>
    <t>Nb de demi-journées si présences d'internes</t>
  </si>
  <si>
    <t>Besoin additionnel en effectifs séniors pour assurer les RTT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</si>
</sst>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
    <numFmt numFmtId="165" formatCode="0.0%"/>
    <numFmt numFmtId="166" formatCode="0&quot;h&quot;"/>
  </numFmts>
  <fonts count="41" x14ac:knownFonts="1">
    <font>
      <sz val="11"/>
      <color theme="1"/>
      <name val="Quire Sans Pro Light"/>
      <family val="2"/>
      <scheme val="minor"/>
    </font>
    <font>
      <b/>
      <sz val="11"/>
      <color theme="3"/>
      <name val="Quire Sans Pro Light"/>
      <family val="2"/>
      <scheme val="minor"/>
    </font>
    <font>
      <b/>
      <sz val="11"/>
      <color theme="0"/>
      <name val="Quire Sans Pro Light"/>
      <family val="2"/>
      <scheme val="minor"/>
    </font>
    <font>
      <b/>
      <sz val="11"/>
      <color theme="1"/>
      <name val="Quire Sans Pro Light"/>
      <family val="2"/>
      <scheme val="minor"/>
    </font>
    <font>
      <b/>
      <sz val="11"/>
      <color rgb="FFFFFFFF"/>
      <name val="Quire Sans Pro Light"/>
      <family val="2"/>
    </font>
    <font>
      <b/>
      <sz val="18"/>
      <color theme="0"/>
      <name val="Quire Sans Pro Light"/>
      <family val="2"/>
      <scheme val="minor"/>
    </font>
    <font>
      <sz val="10"/>
      <color theme="1"/>
      <name val="Quire Sans Pro Light"/>
      <family val="2"/>
      <scheme val="minor"/>
    </font>
    <font>
      <b/>
      <sz val="18"/>
      <color theme="1"/>
      <name val="Quire Sans Pro Light"/>
      <family val="2"/>
      <scheme val="minor"/>
    </font>
    <font>
      <b/>
      <sz val="14"/>
      <color theme="1"/>
      <name val="Quire Sans Pro Light"/>
      <family val="2"/>
      <scheme val="minor"/>
    </font>
    <font>
      <sz val="11"/>
      <name val="Quire Sans Pro Light"/>
      <family val="2"/>
      <scheme val="minor"/>
    </font>
    <font>
      <sz val="11"/>
      <color rgb="FF191919"/>
      <name val="Quire Sans Pro Light"/>
      <family val="2"/>
      <scheme val="minor"/>
    </font>
    <font>
      <sz val="8"/>
      <color theme="1"/>
      <name val="Quire Sans Pro Light"/>
      <family val="2"/>
      <scheme val="minor"/>
    </font>
    <font>
      <sz val="8"/>
      <name val="Quire Sans Pro Light"/>
      <family val="2"/>
      <scheme val="minor"/>
    </font>
    <font>
      <b/>
      <sz val="14"/>
      <color theme="0"/>
      <name val="Quire Sans Pro Light"/>
      <family val="2"/>
      <scheme val="minor"/>
    </font>
    <font>
      <b/>
      <sz val="11"/>
      <color theme="5" tint="-0.249977111117893"/>
      <name val="Quire Sans Pro Light"/>
      <family val="2"/>
      <scheme val="minor"/>
    </font>
    <font>
      <sz val="11"/>
      <color theme="1"/>
      <name val="Quire Sans Pro Light"/>
      <family val="2"/>
      <scheme val="minor"/>
    </font>
    <font>
      <b/>
      <sz val="11"/>
      <color rgb="FFFF0000"/>
      <name val="Quire Sans Pro Light"/>
      <family val="2"/>
      <scheme val="minor"/>
    </font>
    <font>
      <b/>
      <sz val="16"/>
      <color theme="0"/>
      <name val="Quire Sans Pro Light"/>
      <family val="2"/>
      <scheme val="minor"/>
    </font>
    <font>
      <b/>
      <sz val="16"/>
      <color theme="1"/>
      <name val="Quire Sans Pro Light"/>
      <family val="2"/>
      <scheme val="minor"/>
    </font>
    <font>
      <sz val="14"/>
      <color theme="1"/>
      <name val="Quire Sans Pro Light"/>
      <family val="2"/>
      <scheme val="minor"/>
    </font>
    <font>
      <b/>
      <sz val="14"/>
      <color theme="3"/>
      <name val="Quire Sans Pro Light"/>
      <family val="2"/>
      <scheme val="minor"/>
    </font>
    <font>
      <sz val="12"/>
      <color theme="1"/>
      <name val="Quire Sans Pro Light"/>
      <family val="2"/>
      <scheme val="minor"/>
    </font>
    <font>
      <b/>
      <sz val="12"/>
      <color theme="1"/>
      <name val="Quire Sans Pro Light"/>
      <family val="2"/>
      <scheme val="minor"/>
    </font>
    <font>
      <b/>
      <sz val="11"/>
      <color rgb="FF191919"/>
      <name val="Quire Sans Pro Light"/>
      <family val="2"/>
      <scheme val="minor"/>
    </font>
    <font>
      <b/>
      <sz val="14"/>
      <color rgb="FF191919"/>
      <name val="Quire Sans Pro Light"/>
      <family val="2"/>
      <scheme val="minor"/>
    </font>
    <font>
      <sz val="14"/>
      <color rgb="FF191919"/>
      <name val="Quire Sans Pro Light"/>
      <family val="2"/>
      <scheme val="minor"/>
    </font>
    <font>
      <b/>
      <sz val="11"/>
      <name val="Quire Sans Pro Light"/>
      <family val="2"/>
      <scheme val="minor"/>
    </font>
    <font>
      <b/>
      <sz val="22"/>
      <color theme="0"/>
      <name val="Quire Sans Pro Light"/>
      <family val="2"/>
      <scheme val="minor"/>
    </font>
    <font>
      <b/>
      <sz val="14"/>
      <color rgb="FFFF0000"/>
      <name val="Quire Sans Pro Light"/>
      <family val="2"/>
      <scheme val="minor"/>
    </font>
    <font>
      <b/>
      <u/>
      <sz val="14"/>
      <color theme="3"/>
      <name val="Quire Sans Pro Light"/>
      <family val="2"/>
      <scheme val="minor"/>
    </font>
    <font>
      <b/>
      <sz val="12"/>
      <color theme="1"/>
      <name val="Quire Sans Pro Light"/>
      <family val="2"/>
    </font>
    <font>
      <b/>
      <sz val="12"/>
      <color rgb="FFFFFFFF"/>
      <name val="Quire Sans Pro Light"/>
      <family val="2"/>
    </font>
    <font>
      <sz val="12"/>
      <color theme="0"/>
      <name val="Quire Sans Pro Light"/>
      <family val="2"/>
      <scheme val="minor"/>
    </font>
    <font>
      <b/>
      <sz val="12"/>
      <color theme="0"/>
      <name val="Quire Sans Pro Light"/>
      <family val="2"/>
      <scheme val="minor"/>
    </font>
    <font>
      <i/>
      <sz val="14"/>
      <color theme="1"/>
      <name val="Quire Sans Pro Light"/>
      <family val="2"/>
      <scheme val="minor"/>
    </font>
    <font>
      <b/>
      <sz val="14"/>
      <color theme="1"/>
      <name val="Quire Sans Pro Light"/>
      <family val="2"/>
    </font>
    <font>
      <b/>
      <sz val="14"/>
      <color rgb="FFFFFFFF"/>
      <name val="Quire Sans Pro Light"/>
      <family val="2"/>
    </font>
    <font>
      <sz val="14"/>
      <name val="Quire Sans Pro Light"/>
      <family val="2"/>
      <scheme val="minor"/>
    </font>
    <font>
      <b/>
      <sz val="18"/>
      <color theme="9" tint="-0.249977111117893"/>
      <name val="Quire Sans Pro Light"/>
      <family val="2"/>
      <scheme val="minor"/>
    </font>
    <font>
      <sz val="9"/>
      <color indexed="81"/>
      <name val="Tahoma"/>
      <family val="2"/>
    </font>
    <font>
      <b/>
      <i/>
      <sz val="14"/>
      <color theme="3"/>
      <name val="Quire Sans Pro Light"/>
      <family val="2"/>
      <scheme val="minor"/>
    </font>
  </fonts>
  <fills count="27">
    <fill>
      <patternFill patternType="none"/>
    </fill>
    <fill>
      <patternFill patternType="gray125"/>
    </fill>
    <fill>
      <patternFill patternType="solid">
        <fgColor theme="0" tint="-4.9989318521683403E-2"/>
        <bgColor indexed="64"/>
      </patternFill>
    </fill>
    <fill>
      <patternFill patternType="solid">
        <fgColor theme="3"/>
        <bgColor indexed="64"/>
      </patternFill>
    </fill>
    <fill>
      <patternFill patternType="solid">
        <fgColor theme="0"/>
        <bgColor indexed="64"/>
      </patternFill>
    </fill>
    <fill>
      <patternFill patternType="solid">
        <fgColor theme="4" tint="0.79998168889431442"/>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4"/>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tint="-0.14999847407452621"/>
        <bgColor theme="0" tint="-0.14999847407452621"/>
      </patternFill>
    </fill>
    <fill>
      <patternFill patternType="solid">
        <fgColor theme="9"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2" tint="0.79998168889431442"/>
        <bgColor indexed="64"/>
      </patternFill>
    </fill>
    <fill>
      <patternFill patternType="solid">
        <fgColor theme="2"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theme="5" tint="0.79998168889431442"/>
        <bgColor theme="0" tint="-0.14999847407452621"/>
      </patternFill>
    </fill>
    <fill>
      <patternFill patternType="solid">
        <fgColor theme="5" tint="0.79998168889431442"/>
        <bgColor indexed="64"/>
      </patternFill>
    </fill>
    <fill>
      <patternFill patternType="solid">
        <fgColor theme="6" tint="0.79998168889431442"/>
        <bgColor theme="0" tint="-0.14999847407452621"/>
      </patternFill>
    </fill>
    <fill>
      <patternFill patternType="solid">
        <fgColor theme="8"/>
        <bgColor theme="0" tint="-0.14999847407452621"/>
      </patternFill>
    </fill>
    <fill>
      <patternFill patternType="solid">
        <fgColor theme="8"/>
        <bgColor indexed="64"/>
      </patternFill>
    </fill>
  </fills>
  <borders count="99">
    <border>
      <left/>
      <right/>
      <top/>
      <bottom/>
      <diagonal/>
    </border>
    <border>
      <left/>
      <right/>
      <top style="medium">
        <color rgb="FFFFFFFF"/>
      </top>
      <bottom/>
      <diagonal/>
    </border>
    <border>
      <left style="thin">
        <color theme="0" tint="-0.34998626667073579"/>
      </left>
      <right/>
      <top style="thin">
        <color theme="0" tint="-0.34998626667073579"/>
      </top>
      <bottom style="dotted">
        <color theme="0" tint="-0.34998626667073579"/>
      </bottom>
      <diagonal/>
    </border>
    <border>
      <left/>
      <right/>
      <top style="dotted">
        <color theme="0" tint="-0.34998626667073579"/>
      </top>
      <bottom style="dotted">
        <color theme="0" tint="-0.34998626667073579"/>
      </bottom>
      <diagonal/>
    </border>
    <border>
      <left/>
      <right style="thin">
        <color theme="0" tint="-0.34998626667073579"/>
      </right>
      <top style="dotted">
        <color theme="0" tint="-0.34998626667073579"/>
      </top>
      <bottom style="dotted">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medium">
        <color theme="8" tint="-0.499984740745262"/>
      </top>
      <bottom style="medium">
        <color theme="8" tint="-0.499984740745262"/>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style="medium">
        <color theme="8" tint="-0.499984740745262"/>
      </top>
      <bottom style="medium">
        <color theme="8" tint="-0.499984740745262"/>
      </bottom>
      <diagonal/>
    </border>
    <border>
      <left/>
      <right style="thin">
        <color theme="0" tint="-0.34998626667073579"/>
      </right>
      <top style="medium">
        <color theme="8" tint="-0.499984740745262"/>
      </top>
      <bottom style="medium">
        <color theme="8" tint="-0.499984740745262"/>
      </bottom>
      <diagonal/>
    </border>
    <border>
      <left style="thin">
        <color theme="0" tint="-0.34998626667073579"/>
      </left>
      <right/>
      <top/>
      <bottom style="thin">
        <color theme="0" tint="-0.34998626667073579"/>
      </bottom>
      <diagonal/>
    </border>
    <border>
      <left/>
      <right style="medium">
        <color rgb="FFFFFFFF"/>
      </right>
      <top style="medium">
        <color rgb="FFFFFFFF"/>
      </top>
      <bottom/>
      <diagonal/>
    </border>
    <border>
      <left/>
      <right/>
      <top style="dotted">
        <color theme="0" tint="-0.34998626667073579"/>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theme="3"/>
      </left>
      <right style="medium">
        <color theme="3"/>
      </right>
      <top style="medium">
        <color theme="3"/>
      </top>
      <bottom style="medium">
        <color theme="3"/>
      </bottom>
      <diagonal/>
    </border>
    <border>
      <left/>
      <right style="dotted">
        <color auto="1"/>
      </right>
      <top/>
      <bottom style="dotted">
        <color auto="1"/>
      </bottom>
      <diagonal/>
    </border>
    <border>
      <left style="dotted">
        <color auto="1"/>
      </left>
      <right style="dotted">
        <color auto="1"/>
      </right>
      <top/>
      <bottom style="dotted">
        <color auto="1"/>
      </bottom>
      <diagonal/>
    </border>
    <border>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right style="dotted">
        <color auto="1"/>
      </right>
      <top style="dotted">
        <color auto="1"/>
      </top>
      <bottom/>
      <diagonal/>
    </border>
    <border>
      <left style="dotted">
        <color auto="1"/>
      </left>
      <right style="dotted">
        <color auto="1"/>
      </right>
      <top style="dotted">
        <color auto="1"/>
      </top>
      <bottom/>
      <diagonal/>
    </border>
    <border>
      <left style="dotted">
        <color auto="1"/>
      </left>
      <right/>
      <top/>
      <bottom/>
      <diagonal/>
    </border>
    <border>
      <left style="dotted">
        <color auto="1"/>
      </left>
      <right style="dotted">
        <color auto="1"/>
      </right>
      <top/>
      <bottom/>
      <diagonal/>
    </border>
    <border>
      <left/>
      <right/>
      <top/>
      <bottom style="dotted">
        <color theme="0" tint="-0.34998626667073579"/>
      </bottom>
      <diagonal/>
    </border>
    <border>
      <left/>
      <right/>
      <top style="thin">
        <color theme="3"/>
      </top>
      <bottom/>
      <diagonal/>
    </border>
    <border>
      <left style="thin">
        <color theme="3"/>
      </left>
      <right/>
      <top style="thin">
        <color theme="3"/>
      </top>
      <bottom/>
      <diagonal/>
    </border>
    <border>
      <left/>
      <right style="thin">
        <color theme="3"/>
      </right>
      <top style="thin">
        <color theme="3"/>
      </top>
      <bottom/>
      <diagonal/>
    </border>
    <border>
      <left style="thin">
        <color theme="3"/>
      </left>
      <right/>
      <top/>
      <bottom/>
      <diagonal/>
    </border>
    <border>
      <left/>
      <right style="thin">
        <color theme="3"/>
      </right>
      <top/>
      <bottom/>
      <diagonal/>
    </border>
    <border>
      <left style="thin">
        <color theme="3"/>
      </left>
      <right/>
      <top/>
      <bottom style="thin">
        <color theme="3"/>
      </bottom>
      <diagonal/>
    </border>
    <border>
      <left/>
      <right style="thin">
        <color theme="3"/>
      </right>
      <top/>
      <bottom style="thin">
        <color theme="3"/>
      </bottom>
      <diagonal/>
    </border>
    <border>
      <left/>
      <right/>
      <top/>
      <bottom style="thin">
        <color theme="3"/>
      </bottom>
      <diagonal/>
    </border>
    <border>
      <left/>
      <right/>
      <top style="thin">
        <color theme="1"/>
      </top>
      <bottom/>
      <diagonal/>
    </border>
    <border>
      <left style="dashed">
        <color theme="3"/>
      </left>
      <right/>
      <top style="dashed">
        <color theme="3"/>
      </top>
      <bottom/>
      <diagonal/>
    </border>
    <border>
      <left/>
      <right style="dashed">
        <color theme="3"/>
      </right>
      <top style="dashed">
        <color theme="3"/>
      </top>
      <bottom/>
      <diagonal/>
    </border>
    <border>
      <left style="dashed">
        <color theme="3"/>
      </left>
      <right/>
      <top/>
      <bottom/>
      <diagonal/>
    </border>
    <border>
      <left/>
      <right style="dashed">
        <color theme="3"/>
      </right>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style="thin">
        <color theme="1" tint="0.749992370372631"/>
      </left>
      <right style="thin">
        <color theme="1" tint="0.749992370372631"/>
      </right>
      <top style="thin">
        <color theme="1" tint="0.749992370372631"/>
      </top>
      <bottom style="thin">
        <color theme="1" tint="0.749992370372631"/>
      </bottom>
      <diagonal/>
    </border>
    <border>
      <left style="thin">
        <color theme="1" tint="0.749992370372631"/>
      </left>
      <right/>
      <top style="thin">
        <color theme="1" tint="0.749992370372631"/>
      </top>
      <bottom/>
      <diagonal/>
    </border>
    <border>
      <left/>
      <right/>
      <top style="thin">
        <color theme="1" tint="0.749992370372631"/>
      </top>
      <bottom/>
      <diagonal/>
    </border>
    <border>
      <left/>
      <right style="thin">
        <color theme="1" tint="0.749992370372631"/>
      </right>
      <top style="thin">
        <color theme="1" tint="0.749992370372631"/>
      </top>
      <bottom/>
      <diagonal/>
    </border>
    <border>
      <left style="thin">
        <color theme="1" tint="0.749992370372631"/>
      </left>
      <right/>
      <top/>
      <bottom/>
      <diagonal/>
    </border>
    <border>
      <left/>
      <right style="thin">
        <color theme="1" tint="0.749992370372631"/>
      </right>
      <top/>
      <bottom/>
      <diagonal/>
    </border>
    <border>
      <left style="thin">
        <color theme="1" tint="0.749992370372631"/>
      </left>
      <right style="dotted">
        <color auto="1"/>
      </right>
      <top/>
      <bottom style="dotted">
        <color auto="1"/>
      </bottom>
      <diagonal/>
    </border>
    <border>
      <left style="thin">
        <color theme="1" tint="0.749992370372631"/>
      </left>
      <right style="dotted">
        <color auto="1"/>
      </right>
      <top style="dotted">
        <color auto="1"/>
      </top>
      <bottom style="dotted">
        <color auto="1"/>
      </bottom>
      <diagonal/>
    </border>
    <border>
      <left style="thin">
        <color theme="1" tint="0.749992370372631"/>
      </left>
      <right style="dotted">
        <color auto="1"/>
      </right>
      <top style="dotted">
        <color auto="1"/>
      </top>
      <bottom style="thin">
        <color theme="1" tint="0.749992370372631"/>
      </bottom>
      <diagonal/>
    </border>
    <border>
      <left style="thin">
        <color theme="1" tint="0.749992370372631"/>
      </left>
      <right style="dotted">
        <color auto="1"/>
      </right>
      <top style="dotted">
        <color auto="1"/>
      </top>
      <bottom/>
      <diagonal/>
    </border>
    <border>
      <left style="thin">
        <color theme="1" tint="0.749992370372631"/>
      </left>
      <right style="thin">
        <color theme="1" tint="0.749992370372631"/>
      </right>
      <top style="thin">
        <color theme="1" tint="0.749992370372631"/>
      </top>
      <bottom style="dotted">
        <color auto="1"/>
      </bottom>
      <diagonal/>
    </border>
    <border>
      <left style="thin">
        <color theme="1" tint="0.749992370372631"/>
      </left>
      <right style="thin">
        <color theme="1" tint="0.749992370372631"/>
      </right>
      <top style="dotted">
        <color auto="1"/>
      </top>
      <bottom style="dotted">
        <color auto="1"/>
      </bottom>
      <diagonal/>
    </border>
    <border>
      <left style="thin">
        <color theme="1" tint="0.749992370372631"/>
      </left>
      <right style="thin">
        <color theme="1" tint="0.749992370372631"/>
      </right>
      <top style="dotted">
        <color auto="1"/>
      </top>
      <bottom/>
      <diagonal/>
    </border>
    <border>
      <left style="thin">
        <color theme="1" tint="0.749992370372631"/>
      </left>
      <right style="thin">
        <color theme="1" tint="0.749992370372631"/>
      </right>
      <top/>
      <bottom style="thin">
        <color theme="1" tint="0.749992370372631"/>
      </bottom>
      <diagonal/>
    </border>
    <border>
      <left style="dotted">
        <color auto="1"/>
      </left>
      <right style="thin">
        <color theme="1" tint="0.749992370372631"/>
      </right>
      <top/>
      <bottom style="dotted">
        <color auto="1"/>
      </bottom>
      <diagonal/>
    </border>
    <border>
      <left/>
      <right/>
      <top style="thin">
        <color theme="1" tint="0.749992370372631"/>
      </top>
      <bottom style="thin">
        <color theme="1" tint="0.749992370372631"/>
      </bottom>
      <diagonal/>
    </border>
    <border>
      <left style="thin">
        <color theme="1" tint="0.749992370372631"/>
      </left>
      <right/>
      <top style="thin">
        <color theme="1" tint="0.749992370372631"/>
      </top>
      <bottom style="thin">
        <color theme="1" tint="0.749992370372631"/>
      </bottom>
      <diagonal/>
    </border>
    <border>
      <left/>
      <right style="thin">
        <color theme="1" tint="0.749992370372631"/>
      </right>
      <top style="thin">
        <color theme="1" tint="0.749992370372631"/>
      </top>
      <bottom style="thin">
        <color theme="1" tint="0.749992370372631"/>
      </bottom>
      <diagonal/>
    </border>
    <border>
      <left style="dotted">
        <color auto="1"/>
      </left>
      <right/>
      <top style="dotted">
        <color auto="1"/>
      </top>
      <bottom style="dotted">
        <color auto="1"/>
      </bottom>
      <diagonal/>
    </border>
    <border>
      <left style="thin">
        <color theme="1" tint="0.749992370372631"/>
      </left>
      <right style="dotted">
        <color auto="1"/>
      </right>
      <top style="thin">
        <color theme="1" tint="0.749992370372631"/>
      </top>
      <bottom style="dotted">
        <color auto="1"/>
      </bottom>
      <diagonal/>
    </border>
    <border>
      <left style="dotted">
        <color auto="1"/>
      </left>
      <right style="dotted">
        <color auto="1"/>
      </right>
      <top style="thin">
        <color theme="1" tint="0.749992370372631"/>
      </top>
      <bottom style="dotted">
        <color auto="1"/>
      </bottom>
      <diagonal/>
    </border>
    <border>
      <left style="dotted">
        <color auto="1"/>
      </left>
      <right style="thin">
        <color theme="1" tint="0.749992370372631"/>
      </right>
      <top style="thin">
        <color theme="1" tint="0.749992370372631"/>
      </top>
      <bottom style="dotted">
        <color auto="1"/>
      </bottom>
      <diagonal/>
    </border>
    <border>
      <left style="dotted">
        <color auto="1"/>
      </left>
      <right style="dotted">
        <color auto="1"/>
      </right>
      <top style="dotted">
        <color auto="1"/>
      </top>
      <bottom style="thin">
        <color theme="1" tint="0.749992370372631"/>
      </bottom>
      <diagonal/>
    </border>
    <border>
      <left style="dotted">
        <color auto="1"/>
      </left>
      <right style="thin">
        <color theme="1" tint="0.749992370372631"/>
      </right>
      <top style="dotted">
        <color auto="1"/>
      </top>
      <bottom style="thin">
        <color theme="1" tint="0.749992370372631"/>
      </bottom>
      <diagonal/>
    </border>
    <border>
      <left style="thin">
        <color theme="1" tint="0.749992370372631"/>
      </left>
      <right style="thin">
        <color theme="1" tint="0.749992370372631"/>
      </right>
      <top style="thin">
        <color theme="1" tint="0.749992370372631"/>
      </top>
      <bottom/>
      <diagonal/>
    </border>
    <border>
      <left style="thin">
        <color theme="1" tint="0.749992370372631"/>
      </left>
      <right style="thin">
        <color theme="1" tint="0.749992370372631"/>
      </right>
      <top/>
      <bottom/>
      <diagonal/>
    </border>
    <border>
      <left style="thin">
        <color theme="1" tint="0.749992370372631"/>
      </left>
      <right style="thin">
        <color theme="1" tint="0.749992370372631"/>
      </right>
      <top/>
      <bottom style="dotted">
        <color auto="1"/>
      </bottom>
      <diagonal/>
    </border>
    <border>
      <left style="thin">
        <color theme="1" tint="0.749992370372631"/>
      </left>
      <right style="thin">
        <color theme="1" tint="0.749992370372631"/>
      </right>
      <top style="dashed">
        <color theme="3"/>
      </top>
      <bottom style="thin">
        <color theme="1" tint="0.749992370372631"/>
      </bottom>
      <diagonal/>
    </border>
    <border>
      <left style="thin">
        <color theme="1" tint="0.749992370372631"/>
      </left>
      <right/>
      <top style="dashed">
        <color theme="3"/>
      </top>
      <bottom style="thin">
        <color theme="1" tint="0.749992370372631"/>
      </bottom>
      <diagonal/>
    </border>
    <border>
      <left/>
      <right/>
      <top style="dashed">
        <color theme="3"/>
      </top>
      <bottom style="thin">
        <color theme="1" tint="0.749992370372631"/>
      </bottom>
      <diagonal/>
    </border>
    <border>
      <left/>
      <right/>
      <top style="medium">
        <color theme="9"/>
      </top>
      <bottom style="medium">
        <color theme="9"/>
      </bottom>
      <diagonal/>
    </border>
    <border>
      <left/>
      <right style="medium">
        <color theme="9"/>
      </right>
      <top style="medium">
        <color theme="9"/>
      </top>
      <bottom style="medium">
        <color theme="9"/>
      </bottom>
      <diagonal/>
    </border>
    <border>
      <left style="thin">
        <color theme="0" tint="-0.14999847407452621"/>
      </left>
      <right/>
      <top style="thin">
        <color theme="0" tint="-0.14999847407452621"/>
      </top>
      <bottom style="dotted">
        <color theme="0" tint="-0.34998626667073579"/>
      </bottom>
      <diagonal/>
    </border>
    <border>
      <left style="thin">
        <color theme="0" tint="-0.14999847407452621"/>
      </left>
      <right/>
      <top style="dotted">
        <color theme="0" tint="-0.34998626667073579"/>
      </top>
      <bottom style="dotted">
        <color theme="0" tint="-0.34998626667073579"/>
      </bottom>
      <diagonal/>
    </border>
    <border>
      <left style="thin">
        <color theme="0" tint="-0.14999847407452621"/>
      </left>
      <right/>
      <top style="dotted">
        <color theme="0" tint="-0.34998626667073579"/>
      </top>
      <bottom style="thin">
        <color theme="0" tint="-0.14999847407452621"/>
      </bottom>
      <diagonal/>
    </border>
    <border>
      <left style="thin">
        <color theme="9" tint="0.39997558519241921"/>
      </left>
      <right style="thin">
        <color theme="9" tint="0.39997558519241921"/>
      </right>
      <top style="thin">
        <color theme="9" tint="0.39997558519241921"/>
      </top>
      <bottom style="dotted">
        <color theme="1" tint="0.499984740745262"/>
      </bottom>
      <diagonal/>
    </border>
    <border>
      <left style="thin">
        <color theme="9" tint="0.39997558519241921"/>
      </left>
      <right style="thin">
        <color theme="9" tint="0.39997558519241921"/>
      </right>
      <top style="dotted">
        <color theme="1" tint="0.499984740745262"/>
      </top>
      <bottom style="dotted">
        <color theme="1" tint="0.499984740745262"/>
      </bottom>
      <diagonal/>
    </border>
    <border>
      <left style="thin">
        <color theme="9" tint="0.39997558519241921"/>
      </left>
      <right style="thin">
        <color theme="9" tint="0.39997558519241921"/>
      </right>
      <top style="dotted">
        <color theme="1" tint="0.499984740745262"/>
      </top>
      <bottom style="thin">
        <color theme="9" tint="0.39997558519241921"/>
      </bottom>
      <diagonal/>
    </border>
    <border>
      <left style="thin">
        <color theme="9" tint="0.39997558519241921"/>
      </left>
      <right style="thin">
        <color theme="0" tint="-0.14999847407452621"/>
      </right>
      <top style="thin">
        <color theme="9" tint="0.39997558519241921"/>
      </top>
      <bottom style="dotted">
        <color theme="1" tint="0.499984740745262"/>
      </bottom>
      <diagonal/>
    </border>
    <border>
      <left style="thin">
        <color theme="9" tint="0.39997558519241921"/>
      </left>
      <right/>
      <top style="thin">
        <color theme="9" tint="0.39997558519241921"/>
      </top>
      <bottom style="thin">
        <color theme="9" tint="0.39997558519241921"/>
      </bottom>
      <diagonal/>
    </border>
    <border>
      <left/>
      <right style="thin">
        <color theme="9" tint="0.39997558519241921"/>
      </right>
      <top style="thin">
        <color theme="9" tint="0.39997558519241921"/>
      </top>
      <bottom style="thin">
        <color theme="9" tint="0.39997558519241921"/>
      </bottom>
      <diagonal/>
    </border>
    <border>
      <left style="thin">
        <color theme="9" tint="0.39994506668294322"/>
      </left>
      <right/>
      <top style="thin">
        <color theme="9" tint="0.39994506668294322"/>
      </top>
      <bottom style="thin">
        <color theme="9" tint="0.39994506668294322"/>
      </bottom>
      <diagonal/>
    </border>
    <border>
      <left style="dotted">
        <color auto="1"/>
      </left>
      <right/>
      <top/>
      <bottom style="dotted">
        <color auto="1"/>
      </bottom>
      <diagonal/>
    </border>
    <border>
      <left style="dotted">
        <color indexed="64"/>
      </left>
      <right style="thin">
        <color theme="1" tint="0.749992370372631"/>
      </right>
      <top style="dotted">
        <color auto="1"/>
      </top>
      <bottom style="dotted">
        <color auto="1"/>
      </bottom>
      <diagonal/>
    </border>
    <border>
      <left style="thin">
        <color theme="0" tint="-0.14999847407452621"/>
      </left>
      <right style="thin">
        <color theme="0" tint="-0.14999847407452621"/>
      </right>
      <top style="thin">
        <color theme="9" tint="0.39997558519241921"/>
      </top>
      <bottom style="dotted">
        <color theme="1" tint="0.499984740745262"/>
      </bottom>
      <diagonal/>
    </border>
    <border>
      <left style="thin">
        <color theme="0" tint="-0.14999847407452621"/>
      </left>
      <right style="thin">
        <color theme="9" tint="0.39997558519241921"/>
      </right>
      <top style="thin">
        <color theme="9" tint="0.39997558519241921"/>
      </top>
      <bottom style="dotted">
        <color theme="1" tint="0.499984740745262"/>
      </bottom>
      <diagonal/>
    </border>
    <border>
      <left style="thin">
        <color theme="9" tint="0.39997558519241921"/>
      </left>
      <right style="thin">
        <color theme="0" tint="-0.14999847407452621"/>
      </right>
      <top style="dotted">
        <color theme="1" tint="0.499984740745262"/>
      </top>
      <bottom style="dotted">
        <color theme="1" tint="0.499984740745262"/>
      </bottom>
      <diagonal/>
    </border>
  </borders>
  <cellStyleXfs count="3">
    <xf numFmtId="0" fontId="0" fillId="0" borderId="0"/>
    <xf numFmtId="9" fontId="15" fillId="0" borderId="0" applyFont="0" applyFill="0" applyBorder="0" applyAlignment="0" applyProtection="0"/>
    <xf numFmtId="44" fontId="15" fillId="0" borderId="0" applyFont="0" applyFill="0" applyBorder="0" applyAlignment="0" applyProtection="0"/>
  </cellStyleXfs>
  <cellXfs count="291">
    <xf numFmtId="0" fontId="0" fillId="0" borderId="0" xfId="0"/>
    <xf numFmtId="0" fontId="0" fillId="2" borderId="0" xfId="0" applyFill="1"/>
    <xf numFmtId="0" fontId="0" fillId="4" borderId="0" xfId="0" applyFill="1"/>
    <xf numFmtId="0" fontId="0" fillId="4" borderId="0" xfId="0" applyFill="1" applyAlignment="1">
      <alignment horizontal="left" vertical="center"/>
    </xf>
    <xf numFmtId="0" fontId="0" fillId="4" borderId="4" xfId="0" applyFill="1" applyBorder="1" applyAlignment="1">
      <alignment vertical="center"/>
    </xf>
    <xf numFmtId="0" fontId="1" fillId="10" borderId="5" xfId="0" applyFont="1" applyFill="1" applyBorder="1" applyAlignment="1">
      <alignment horizontal="center" vertical="center"/>
    </xf>
    <xf numFmtId="0" fontId="1" fillId="10" borderId="6" xfId="0" applyFont="1" applyFill="1" applyBorder="1" applyAlignment="1">
      <alignment horizontal="center" vertical="center"/>
    </xf>
    <xf numFmtId="0" fontId="1" fillId="10" borderId="7" xfId="0" applyFont="1" applyFill="1" applyBorder="1" applyAlignment="1">
      <alignment horizontal="center" vertical="center"/>
    </xf>
    <xf numFmtId="0" fontId="3" fillId="2" borderId="3" xfId="0" applyFont="1" applyFill="1" applyBorder="1" applyAlignment="1">
      <alignment horizontal="center" vertical="center"/>
    </xf>
    <xf numFmtId="0" fontId="6" fillId="4" borderId="3" xfId="0" applyFont="1" applyFill="1" applyBorder="1" applyAlignment="1">
      <alignment vertical="center"/>
    </xf>
    <xf numFmtId="0" fontId="5" fillId="4" borderId="12" xfId="0" applyFont="1" applyFill="1" applyBorder="1" applyAlignment="1">
      <alignment horizontal="center" vertical="center"/>
    </xf>
    <xf numFmtId="0" fontId="5" fillId="4" borderId="0" xfId="0" applyFont="1" applyFill="1" applyAlignment="1">
      <alignment horizontal="center" vertical="center"/>
    </xf>
    <xf numFmtId="0" fontId="5" fillId="4" borderId="13" xfId="0" applyFont="1" applyFill="1" applyBorder="1" applyAlignment="1">
      <alignment horizontal="center" vertical="center"/>
    </xf>
    <xf numFmtId="0" fontId="0" fillId="4" borderId="16" xfId="0" applyFill="1" applyBorder="1"/>
    <xf numFmtId="0" fontId="3" fillId="4" borderId="0" xfId="0" applyFont="1" applyFill="1" applyAlignment="1">
      <alignment horizontal="left" vertical="center"/>
    </xf>
    <xf numFmtId="0" fontId="11" fillId="2" borderId="0" xfId="0" applyFont="1" applyFill="1"/>
    <xf numFmtId="0" fontId="0" fillId="0" borderId="0" xfId="0" applyAlignment="1">
      <alignment horizontal="center"/>
    </xf>
    <xf numFmtId="0" fontId="13" fillId="3" borderId="0" xfId="0" applyFont="1" applyFill="1" applyAlignment="1">
      <alignment horizontal="center" vertical="center"/>
    </xf>
    <xf numFmtId="0" fontId="13" fillId="3" borderId="0" xfId="0" applyFont="1" applyFill="1" applyAlignment="1">
      <alignment horizontal="center" vertical="center" wrapText="1"/>
    </xf>
    <xf numFmtId="0" fontId="14" fillId="0" borderId="0" xfId="0" applyFont="1"/>
    <xf numFmtId="0" fontId="5" fillId="0" borderId="0" xfId="0" applyFont="1" applyAlignment="1">
      <alignment vertical="center"/>
    </xf>
    <xf numFmtId="0" fontId="7" fillId="4" borderId="12" xfId="0" applyFont="1" applyFill="1" applyBorder="1" applyAlignment="1">
      <alignment horizontal="center" vertical="center"/>
    </xf>
    <xf numFmtId="9" fontId="3" fillId="2" borderId="3" xfId="0" applyNumberFormat="1" applyFont="1" applyFill="1" applyBorder="1" applyAlignment="1">
      <alignment horizontal="center" vertical="center"/>
    </xf>
    <xf numFmtId="1" fontId="3" fillId="2" borderId="3" xfId="0" applyNumberFormat="1" applyFont="1" applyFill="1" applyBorder="1" applyAlignment="1">
      <alignment horizontal="center" vertical="center"/>
    </xf>
    <xf numFmtId="0" fontId="16" fillId="0" borderId="0" xfId="0" applyFont="1"/>
    <xf numFmtId="1" fontId="3" fillId="2" borderId="3" xfId="1" applyNumberFormat="1" applyFont="1" applyFill="1" applyBorder="1" applyAlignment="1">
      <alignment horizontal="center" vertical="center"/>
    </xf>
    <xf numFmtId="0" fontId="17" fillId="3" borderId="0" xfId="0" applyFont="1" applyFill="1" applyAlignment="1">
      <alignment horizontal="center" vertical="center" wrapText="1"/>
    </xf>
    <xf numFmtId="1" fontId="0" fillId="0" borderId="0" xfId="0" applyNumberFormat="1"/>
    <xf numFmtId="164" fontId="0" fillId="0" borderId="0" xfId="0" applyNumberFormat="1" applyAlignment="1">
      <alignment horizontal="center"/>
    </xf>
    <xf numFmtId="0" fontId="2" fillId="3" borderId="0" xfId="0" applyFont="1" applyFill="1" applyAlignment="1">
      <alignment vertical="center" wrapText="1" readingOrder="1"/>
    </xf>
    <xf numFmtId="0" fontId="0" fillId="2" borderId="0" xfId="0" applyFill="1" applyAlignment="1">
      <alignment horizontal="center" vertical="center"/>
    </xf>
    <xf numFmtId="0" fontId="0" fillId="4" borderId="0" xfId="0" applyFill="1" applyAlignment="1">
      <alignment vertical="center"/>
    </xf>
    <xf numFmtId="0" fontId="8" fillId="2" borderId="0" xfId="0" applyFont="1" applyFill="1" applyAlignment="1">
      <alignment horizontal="left" vertical="center"/>
    </xf>
    <xf numFmtId="0" fontId="10" fillId="2" borderId="34" xfId="0" applyFont="1" applyFill="1" applyBorder="1" applyAlignment="1">
      <alignment horizontal="center" vertical="center" wrapText="1" readingOrder="1"/>
    </xf>
    <xf numFmtId="0" fontId="19" fillId="4" borderId="0" xfId="0" applyFont="1" applyFill="1"/>
    <xf numFmtId="0" fontId="0" fillId="13" borderId="27" xfId="0" applyFill="1" applyBorder="1"/>
    <xf numFmtId="165" fontId="3" fillId="2" borderId="3" xfId="0" applyNumberFormat="1" applyFont="1" applyFill="1" applyBorder="1" applyAlignment="1">
      <alignment horizontal="center" vertical="center"/>
    </xf>
    <xf numFmtId="0" fontId="2" fillId="6" borderId="2" xfId="0" applyFont="1" applyFill="1" applyBorder="1" applyAlignment="1">
      <alignment horizontal="center" vertical="center" wrapText="1"/>
    </xf>
    <xf numFmtId="0" fontId="0" fillId="4" borderId="24" xfId="0" applyFill="1" applyBorder="1"/>
    <xf numFmtId="0" fontId="0" fillId="4" borderId="25" xfId="0" applyFill="1" applyBorder="1"/>
    <xf numFmtId="0" fontId="0" fillId="4" borderId="26" xfId="0" applyFill="1" applyBorder="1"/>
    <xf numFmtId="0" fontId="0" fillId="4" borderId="22" xfId="0" applyFill="1" applyBorder="1"/>
    <xf numFmtId="0" fontId="0" fillId="4" borderId="23" xfId="0" applyFill="1" applyBorder="1"/>
    <xf numFmtId="1" fontId="0" fillId="0" borderId="0" xfId="0" applyNumberFormat="1" applyAlignment="1">
      <alignment horizontal="center"/>
    </xf>
    <xf numFmtId="0" fontId="8" fillId="4" borderId="0" xfId="0" applyFont="1" applyFill="1" applyAlignment="1">
      <alignment horizontal="center" vertical="center" wrapText="1"/>
    </xf>
    <xf numFmtId="44" fontId="0" fillId="0" borderId="0" xfId="2" applyFont="1"/>
    <xf numFmtId="0" fontId="10" fillId="4" borderId="0" xfId="0" applyFont="1" applyFill="1" applyAlignment="1">
      <alignment horizontal="center" vertical="center" wrapText="1" readingOrder="1"/>
    </xf>
    <xf numFmtId="0" fontId="13" fillId="3" borderId="45" xfId="0" applyFont="1" applyFill="1" applyBorder="1" applyAlignment="1">
      <alignment horizontal="center" vertical="center" wrapText="1"/>
    </xf>
    <xf numFmtId="0" fontId="0" fillId="0" borderId="38" xfId="0" applyBorder="1"/>
    <xf numFmtId="1" fontId="0" fillId="0" borderId="37" xfId="0" applyNumberFormat="1" applyBorder="1"/>
    <xf numFmtId="1" fontId="0" fillId="0" borderId="39" xfId="0" applyNumberFormat="1" applyBorder="1"/>
    <xf numFmtId="0" fontId="0" fillId="12" borderId="40" xfId="0" applyFill="1" applyBorder="1"/>
    <xf numFmtId="1" fontId="0" fillId="12" borderId="0" xfId="0" applyNumberFormat="1" applyFill="1"/>
    <xf numFmtId="1" fontId="0" fillId="12" borderId="41" xfId="0" applyNumberFormat="1" applyFill="1" applyBorder="1"/>
    <xf numFmtId="0" fontId="4" fillId="4" borderId="0" xfId="0" applyFont="1" applyFill="1" applyAlignment="1">
      <alignment horizontal="left" vertical="center" wrapText="1" readingOrder="1"/>
    </xf>
    <xf numFmtId="164" fontId="33" fillId="3" borderId="0" xfId="0" applyNumberFormat="1" applyFont="1" applyFill="1" applyAlignment="1">
      <alignment horizontal="right" vertical="center" wrapText="1" readingOrder="1"/>
    </xf>
    <xf numFmtId="0" fontId="10" fillId="15" borderId="29" xfId="0" applyFont="1" applyFill="1" applyBorder="1" applyAlignment="1">
      <alignment horizontal="center" vertical="center" wrapText="1" readingOrder="1"/>
    </xf>
    <xf numFmtId="0" fontId="25" fillId="4" borderId="62" xfId="0" applyFont="1" applyFill="1" applyBorder="1" applyAlignment="1">
      <alignment horizontal="left" vertical="center" wrapText="1" readingOrder="1"/>
    </xf>
    <xf numFmtId="0" fontId="25" fillId="4" borderId="63" xfId="0" applyFont="1" applyFill="1" applyBorder="1" applyAlignment="1">
      <alignment horizontal="left" vertical="center" wrapText="1" readingOrder="1"/>
    </xf>
    <xf numFmtId="0" fontId="25" fillId="4" borderId="64" xfId="0" applyFont="1" applyFill="1" applyBorder="1" applyAlignment="1">
      <alignment horizontal="left" vertical="center" wrapText="1" readingOrder="1"/>
    </xf>
    <xf numFmtId="0" fontId="10" fillId="17" borderId="29" xfId="0" applyFont="1" applyFill="1" applyBorder="1" applyAlignment="1">
      <alignment horizontal="center" vertical="center" wrapText="1" readingOrder="1"/>
    </xf>
    <xf numFmtId="0" fontId="10" fillId="16" borderId="59" xfId="0" applyFont="1" applyFill="1" applyBorder="1" applyAlignment="1">
      <alignment horizontal="center" vertical="center" wrapText="1" readingOrder="1"/>
    </xf>
    <xf numFmtId="1" fontId="10" fillId="16" borderId="59" xfId="0" applyNumberFormat="1" applyFont="1" applyFill="1" applyBorder="1" applyAlignment="1">
      <alignment horizontal="center" vertical="center" wrapText="1" readingOrder="1"/>
    </xf>
    <xf numFmtId="0" fontId="10" fillId="16" borderId="31" xfId="0" applyFont="1" applyFill="1" applyBorder="1" applyAlignment="1">
      <alignment horizontal="center" vertical="center" wrapText="1" readingOrder="1"/>
    </xf>
    <xf numFmtId="0" fontId="9" fillId="16" borderId="31" xfId="0" applyFont="1" applyFill="1" applyBorder="1" applyAlignment="1">
      <alignment horizontal="center" vertical="center" wrapText="1"/>
    </xf>
    <xf numFmtId="1" fontId="9" fillId="16" borderId="31" xfId="0" applyNumberFormat="1" applyFont="1" applyFill="1" applyBorder="1" applyAlignment="1">
      <alignment horizontal="center" vertical="center" wrapText="1"/>
    </xf>
    <xf numFmtId="1" fontId="25" fillId="17" borderId="28" xfId="0" applyNumberFormat="1" applyFont="1" applyFill="1" applyBorder="1" applyAlignment="1">
      <alignment horizontal="center" vertical="center" wrapText="1" readingOrder="1"/>
    </xf>
    <xf numFmtId="1" fontId="25" fillId="17" borderId="29" xfId="0" applyNumberFormat="1" applyFont="1" applyFill="1" applyBorder="1" applyAlignment="1">
      <alignment horizontal="center" vertical="center" wrapText="1" readingOrder="1"/>
    </xf>
    <xf numFmtId="1" fontId="25" fillId="17" borderId="30" xfId="0" applyNumberFormat="1" applyFont="1" applyFill="1" applyBorder="1" applyAlignment="1">
      <alignment horizontal="center" vertical="center" wrapText="1" readingOrder="1"/>
    </xf>
    <xf numFmtId="1" fontId="25" fillId="5" borderId="59" xfId="0" applyNumberFormat="1" applyFont="1" applyFill="1" applyBorder="1" applyAlignment="1">
      <alignment horizontal="center" vertical="center" wrapText="1" readingOrder="1"/>
    </xf>
    <xf numFmtId="1" fontId="25" fillId="16" borderId="59" xfId="0" applyNumberFormat="1" applyFont="1" applyFill="1" applyBorder="1" applyAlignment="1">
      <alignment horizontal="center" vertical="center" wrapText="1" readingOrder="1"/>
    </xf>
    <xf numFmtId="1" fontId="25" fillId="2" borderId="34" xfId="0" applyNumberFormat="1" applyFont="1" applyFill="1" applyBorder="1" applyAlignment="1">
      <alignment horizontal="center" vertical="center" wrapText="1" readingOrder="1"/>
    </xf>
    <xf numFmtId="1" fontId="25" fillId="5" borderId="29" xfId="0" applyNumberFormat="1" applyFont="1" applyFill="1" applyBorder="1" applyAlignment="1">
      <alignment horizontal="center" vertical="center" wrapText="1" readingOrder="1"/>
    </xf>
    <xf numFmtId="1" fontId="25" fillId="17" borderId="32" xfId="0" applyNumberFormat="1" applyFont="1" applyFill="1" applyBorder="1" applyAlignment="1">
      <alignment horizontal="center" vertical="center" wrapText="1" readingOrder="1"/>
    </xf>
    <xf numFmtId="1" fontId="25" fillId="17" borderId="35" xfId="0" applyNumberFormat="1" applyFont="1" applyFill="1" applyBorder="1" applyAlignment="1">
      <alignment horizontal="center" vertical="center" wrapText="1" readingOrder="1"/>
    </xf>
    <xf numFmtId="1" fontId="25" fillId="5" borderId="61" xfId="0" applyNumberFormat="1" applyFont="1" applyFill="1" applyBorder="1" applyAlignment="1">
      <alignment horizontal="center" vertical="center" wrapText="1" readingOrder="1"/>
    </xf>
    <xf numFmtId="1" fontId="25" fillId="5" borderId="35" xfId="0" applyNumberFormat="1" applyFont="1" applyFill="1" applyBorder="1" applyAlignment="1">
      <alignment horizontal="center" vertical="center" wrapText="1" readingOrder="1"/>
    </xf>
    <xf numFmtId="1" fontId="25" fillId="16" borderId="61" xfId="0" applyNumberFormat="1" applyFont="1" applyFill="1" applyBorder="1" applyAlignment="1">
      <alignment horizontal="center" vertical="center" wrapText="1" readingOrder="1"/>
    </xf>
    <xf numFmtId="0" fontId="32" fillId="21" borderId="56" xfId="0" applyFont="1" applyFill="1" applyBorder="1" applyAlignment="1">
      <alignment horizontal="center" vertical="center" wrapText="1"/>
    </xf>
    <xf numFmtId="0" fontId="32" fillId="21" borderId="0" xfId="0" applyFont="1" applyFill="1" applyAlignment="1">
      <alignment horizontal="center" vertical="center" wrapText="1"/>
    </xf>
    <xf numFmtId="0" fontId="13" fillId="21" borderId="52" xfId="0" applyFont="1" applyFill="1" applyBorder="1" applyAlignment="1">
      <alignment horizontal="left" vertical="center" wrapText="1" readingOrder="1"/>
    </xf>
    <xf numFmtId="1" fontId="13" fillId="21" borderId="67" xfId="0" applyNumberFormat="1" applyFont="1" applyFill="1" applyBorder="1" applyAlignment="1">
      <alignment horizontal="center" vertical="center" wrapText="1" readingOrder="1"/>
    </xf>
    <xf numFmtId="1" fontId="13" fillId="21" borderId="68" xfId="0" applyNumberFormat="1" applyFont="1" applyFill="1" applyBorder="1" applyAlignment="1">
      <alignment horizontal="center" vertical="center" wrapText="1" readingOrder="1"/>
    </xf>
    <xf numFmtId="166" fontId="23" fillId="16" borderId="29" xfId="0" applyNumberFormat="1" applyFont="1" applyFill="1" applyBorder="1" applyAlignment="1">
      <alignment horizontal="center" vertical="center" wrapText="1" readingOrder="1"/>
    </xf>
    <xf numFmtId="166" fontId="26" fillId="16" borderId="29" xfId="0" applyNumberFormat="1" applyFont="1" applyFill="1" applyBorder="1" applyAlignment="1">
      <alignment horizontal="center" vertical="center" wrapText="1"/>
    </xf>
    <xf numFmtId="0" fontId="9" fillId="16" borderId="33" xfId="0" applyFont="1" applyFill="1" applyBorder="1" applyAlignment="1">
      <alignment horizontal="center" vertical="center" wrapText="1"/>
    </xf>
    <xf numFmtId="166" fontId="23" fillId="15" borderId="29" xfId="0" applyNumberFormat="1" applyFont="1" applyFill="1" applyBorder="1" applyAlignment="1">
      <alignment horizontal="center" vertical="center" wrapText="1" readingOrder="1"/>
    </xf>
    <xf numFmtId="0" fontId="10" fillId="15" borderId="35" xfId="0" applyFont="1" applyFill="1" applyBorder="1" applyAlignment="1">
      <alignment horizontal="center" vertical="center" wrapText="1" readingOrder="1"/>
    </xf>
    <xf numFmtId="166" fontId="23" fillId="17" borderId="29" xfId="0" applyNumberFormat="1" applyFont="1" applyFill="1" applyBorder="1" applyAlignment="1">
      <alignment horizontal="center" vertical="center" wrapText="1" readingOrder="1"/>
    </xf>
    <xf numFmtId="0" fontId="10" fillId="17" borderId="35" xfId="0" applyFont="1" applyFill="1" applyBorder="1" applyAlignment="1">
      <alignment horizontal="center" vertical="center" wrapText="1" readingOrder="1"/>
    </xf>
    <xf numFmtId="0" fontId="25" fillId="4" borderId="78" xfId="0" applyFont="1" applyFill="1" applyBorder="1" applyAlignment="1">
      <alignment horizontal="left" vertical="center" wrapText="1" readingOrder="1"/>
    </xf>
    <xf numFmtId="0" fontId="2" fillId="21" borderId="79" xfId="0" applyFont="1" applyFill="1" applyBorder="1" applyAlignment="1">
      <alignment horizontal="left" vertical="center" wrapText="1" readingOrder="1"/>
    </xf>
    <xf numFmtId="166" fontId="23" fillId="17" borderId="58" xfId="0" applyNumberFormat="1" applyFont="1" applyFill="1" applyBorder="1" applyAlignment="1">
      <alignment horizontal="center" vertical="center" wrapText="1" readingOrder="1"/>
    </xf>
    <xf numFmtId="0" fontId="10" fillId="17" borderId="59" xfId="0" applyFont="1" applyFill="1" applyBorder="1" applyAlignment="1">
      <alignment horizontal="center" vertical="center" wrapText="1" readingOrder="1"/>
    </xf>
    <xf numFmtId="1" fontId="10" fillId="17" borderId="59" xfId="0" applyNumberFormat="1" applyFont="1" applyFill="1" applyBorder="1" applyAlignment="1">
      <alignment horizontal="center" vertical="center" wrapText="1" readingOrder="1"/>
    </xf>
    <xf numFmtId="0" fontId="10" fillId="17" borderId="61" xfId="0" applyFont="1" applyFill="1" applyBorder="1" applyAlignment="1">
      <alignment horizontal="center" vertical="center" wrapText="1" readingOrder="1"/>
    </xf>
    <xf numFmtId="0" fontId="2" fillId="21" borderId="80" xfId="0" applyFont="1" applyFill="1" applyBorder="1" applyAlignment="1">
      <alignment horizontal="center" vertical="center" wrapText="1" readingOrder="1"/>
    </xf>
    <xf numFmtId="0" fontId="2" fillId="21" borderId="81" xfId="0" applyFont="1" applyFill="1" applyBorder="1" applyAlignment="1">
      <alignment horizontal="center" vertical="center" wrapText="1" readingOrder="1"/>
    </xf>
    <xf numFmtId="166" fontId="23" fillId="15" borderId="58" xfId="0" applyNumberFormat="1" applyFont="1" applyFill="1" applyBorder="1" applyAlignment="1">
      <alignment horizontal="center" vertical="center" wrapText="1" readingOrder="1"/>
    </xf>
    <xf numFmtId="0" fontId="10" fillId="15" borderId="59" xfId="0" applyFont="1" applyFill="1" applyBorder="1" applyAlignment="1">
      <alignment horizontal="center" vertical="center" wrapText="1" readingOrder="1"/>
    </xf>
    <xf numFmtId="1" fontId="10" fillId="15" borderId="59" xfId="0" applyNumberFormat="1" applyFont="1" applyFill="1" applyBorder="1" applyAlignment="1">
      <alignment horizontal="center" vertical="center" wrapText="1" readingOrder="1"/>
    </xf>
    <xf numFmtId="0" fontId="10" fillId="15" borderId="61" xfId="0" applyFont="1" applyFill="1" applyBorder="1" applyAlignment="1">
      <alignment horizontal="center" vertical="center" wrapText="1" readingOrder="1"/>
    </xf>
    <xf numFmtId="166" fontId="23" fillId="16" borderId="58" xfId="0" applyNumberFormat="1" applyFont="1" applyFill="1" applyBorder="1" applyAlignment="1">
      <alignment horizontal="center" vertical="center" wrapText="1" readingOrder="1"/>
    </xf>
    <xf numFmtId="0" fontId="10" fillId="16" borderId="61" xfId="0" applyFont="1" applyFill="1" applyBorder="1" applyAlignment="1">
      <alignment horizontal="center" vertical="center" wrapText="1" readingOrder="1"/>
    </xf>
    <xf numFmtId="0" fontId="0" fillId="22" borderId="38" xfId="0" applyFill="1" applyBorder="1"/>
    <xf numFmtId="1" fontId="0" fillId="22" borderId="37" xfId="0" applyNumberFormat="1" applyFill="1" applyBorder="1"/>
    <xf numFmtId="1" fontId="0" fillId="22" borderId="39" xfId="0" applyNumberFormat="1" applyFill="1" applyBorder="1"/>
    <xf numFmtId="0" fontId="0" fillId="23" borderId="40" xfId="0" applyFill="1" applyBorder="1"/>
    <xf numFmtId="1" fontId="0" fillId="23" borderId="0" xfId="0" applyNumberFormat="1" applyFill="1"/>
    <xf numFmtId="1" fontId="0" fillId="23" borderId="41" xfId="0" applyNumberFormat="1" applyFill="1" applyBorder="1"/>
    <xf numFmtId="0" fontId="0" fillId="22" borderId="42" xfId="0" applyFill="1" applyBorder="1"/>
    <xf numFmtId="1" fontId="0" fillId="22" borderId="44" xfId="0" applyNumberFormat="1" applyFill="1" applyBorder="1"/>
    <xf numFmtId="1" fontId="0" fillId="22" borderId="43" xfId="0" applyNumberFormat="1" applyFill="1" applyBorder="1"/>
    <xf numFmtId="0" fontId="0" fillId="24" borderId="38" xfId="0" applyFill="1" applyBorder="1"/>
    <xf numFmtId="1" fontId="0" fillId="24" borderId="37" xfId="0" applyNumberFormat="1" applyFill="1" applyBorder="1"/>
    <xf numFmtId="1" fontId="0" fillId="24" borderId="39" xfId="0" applyNumberFormat="1" applyFill="1" applyBorder="1"/>
    <xf numFmtId="0" fontId="0" fillId="11" borderId="40" xfId="0" applyFill="1" applyBorder="1"/>
    <xf numFmtId="1" fontId="0" fillId="11" borderId="0" xfId="0" applyNumberFormat="1" applyFill="1"/>
    <xf numFmtId="1" fontId="0" fillId="11" borderId="41" xfId="0" applyNumberFormat="1" applyFill="1" applyBorder="1"/>
    <xf numFmtId="0" fontId="0" fillId="24" borderId="42" xfId="0" applyFill="1" applyBorder="1"/>
    <xf numFmtId="1" fontId="0" fillId="24" borderId="44" xfId="0" applyNumberFormat="1" applyFill="1" applyBorder="1"/>
    <xf numFmtId="1" fontId="0" fillId="24" borderId="43" xfId="0" applyNumberFormat="1" applyFill="1" applyBorder="1"/>
    <xf numFmtId="0" fontId="0" fillId="25" borderId="38" xfId="0" applyFill="1" applyBorder="1"/>
    <xf numFmtId="1" fontId="0" fillId="25" borderId="37" xfId="0" applyNumberFormat="1" applyFill="1" applyBorder="1"/>
    <xf numFmtId="1" fontId="0" fillId="25" borderId="39" xfId="0" applyNumberFormat="1" applyFill="1" applyBorder="1"/>
    <xf numFmtId="0" fontId="0" fillId="26" borderId="40" xfId="0" applyFill="1" applyBorder="1"/>
    <xf numFmtId="1" fontId="0" fillId="26" borderId="0" xfId="0" applyNumberFormat="1" applyFill="1"/>
    <xf numFmtId="1" fontId="0" fillId="26" borderId="41" xfId="0" applyNumberFormat="1" applyFill="1" applyBorder="1"/>
    <xf numFmtId="0" fontId="0" fillId="25" borderId="42" xfId="0" applyFill="1" applyBorder="1"/>
    <xf numFmtId="1" fontId="0" fillId="25" borderId="44" xfId="0" applyNumberFormat="1" applyFill="1" applyBorder="1"/>
    <xf numFmtId="1" fontId="0" fillId="25" borderId="43" xfId="0" applyNumberFormat="1" applyFill="1" applyBorder="1"/>
    <xf numFmtId="164" fontId="13" fillId="3" borderId="0" xfId="0" applyNumberFormat="1" applyFont="1" applyFill="1" applyAlignment="1">
      <alignment horizontal="right" vertical="center" wrapText="1" readingOrder="1"/>
    </xf>
    <xf numFmtId="0" fontId="13" fillId="3" borderId="0" xfId="0" applyFont="1" applyFill="1" applyAlignment="1">
      <alignment vertical="center" wrapText="1" readingOrder="1"/>
    </xf>
    <xf numFmtId="164" fontId="17" fillId="3" borderId="0" xfId="0" applyNumberFormat="1" applyFont="1" applyFill="1" applyAlignment="1">
      <alignment horizontal="right" vertical="center" wrapText="1" readingOrder="1"/>
    </xf>
    <xf numFmtId="0" fontId="17" fillId="3" borderId="0" xfId="0" applyFont="1" applyFill="1" applyAlignment="1">
      <alignment vertical="center" wrapText="1" readingOrder="1"/>
    </xf>
    <xf numFmtId="0" fontId="19" fillId="4" borderId="22" xfId="0" applyFont="1" applyFill="1" applyBorder="1"/>
    <xf numFmtId="0" fontId="19" fillId="4" borderId="23" xfId="0" applyFont="1" applyFill="1" applyBorder="1"/>
    <xf numFmtId="0" fontId="19" fillId="2" borderId="0" xfId="0" applyFont="1" applyFill="1"/>
    <xf numFmtId="1" fontId="10" fillId="17" borderId="28" xfId="0" applyNumberFormat="1" applyFont="1" applyFill="1" applyBorder="1" applyAlignment="1">
      <alignment horizontal="center" vertical="center" wrapText="1" readingOrder="1"/>
    </xf>
    <xf numFmtId="0" fontId="9" fillId="16" borderId="70" xfId="0" applyFont="1" applyFill="1" applyBorder="1" applyAlignment="1">
      <alignment horizontal="center" vertical="center" wrapText="1"/>
    </xf>
    <xf numFmtId="0" fontId="21" fillId="0" borderId="0" xfId="0" applyFont="1" applyAlignment="1">
      <alignment horizontal="center"/>
    </xf>
    <xf numFmtId="0" fontId="10" fillId="15" borderId="94" xfId="0" applyFont="1" applyFill="1" applyBorder="1" applyAlignment="1">
      <alignment horizontal="center" vertical="center" wrapText="1" readingOrder="1"/>
    </xf>
    <xf numFmtId="1" fontId="10" fillId="15" borderId="95" xfId="0" applyNumberFormat="1" applyFont="1" applyFill="1" applyBorder="1" applyAlignment="1">
      <alignment horizontal="center" vertical="center" wrapText="1" readingOrder="1"/>
    </xf>
    <xf numFmtId="0" fontId="19" fillId="2" borderId="0" xfId="0" applyFont="1" applyFill="1" applyAlignment="1">
      <alignment horizontal="center" vertical="center"/>
    </xf>
    <xf numFmtId="0" fontId="19" fillId="2" borderId="0" xfId="0" applyFont="1" applyFill="1" applyAlignment="1">
      <alignment horizontal="center"/>
    </xf>
    <xf numFmtId="0" fontId="0" fillId="2" borderId="0" xfId="0" applyFill="1" applyAlignment="1">
      <alignment vertical="center"/>
    </xf>
    <xf numFmtId="0" fontId="19" fillId="4" borderId="3" xfId="0" applyFont="1" applyFill="1" applyBorder="1" applyAlignment="1">
      <alignment horizontal="left" vertical="center" indent="1"/>
    </xf>
    <xf numFmtId="0" fontId="19" fillId="2" borderId="0" xfId="0" applyFont="1" applyFill="1" applyAlignment="1">
      <alignment horizontal="left" vertical="center" indent="1"/>
    </xf>
    <xf numFmtId="0" fontId="19" fillId="4" borderId="93" xfId="0" applyFont="1" applyFill="1" applyBorder="1" applyAlignment="1">
      <alignment horizontal="left" vertical="center" indent="1"/>
    </xf>
    <xf numFmtId="0" fontId="19" fillId="2" borderId="0" xfId="0" applyFont="1" applyFill="1" applyAlignment="1">
      <alignment horizontal="left" indent="1"/>
    </xf>
    <xf numFmtId="0" fontId="19" fillId="4" borderId="84" xfId="0" applyFont="1" applyFill="1" applyBorder="1" applyAlignment="1">
      <alignment horizontal="left" vertical="center" indent="1"/>
    </xf>
    <xf numFmtId="0" fontId="19" fillId="4" borderId="85" xfId="0" applyFont="1" applyFill="1" applyBorder="1" applyAlignment="1">
      <alignment horizontal="left" vertical="center" indent="1"/>
    </xf>
    <xf numFmtId="0" fontId="19" fillId="4" borderId="86" xfId="0" applyFont="1" applyFill="1" applyBorder="1" applyAlignment="1">
      <alignment horizontal="left" vertical="center" indent="1"/>
    </xf>
    <xf numFmtId="0" fontId="0" fillId="2" borderId="0" xfId="0" applyFill="1" applyAlignment="1">
      <alignment horizontal="left" vertical="center"/>
    </xf>
    <xf numFmtId="0" fontId="0" fillId="2" borderId="0" xfId="0" applyFill="1" applyAlignment="1">
      <alignment horizontal="left"/>
    </xf>
    <xf numFmtId="0" fontId="19" fillId="4" borderId="85" xfId="0" applyFont="1" applyFill="1" applyBorder="1" applyAlignment="1">
      <alignment horizontal="left" vertical="center" wrapText="1" indent="1"/>
    </xf>
    <xf numFmtId="0" fontId="18" fillId="4" borderId="0" xfId="0" applyFont="1" applyFill="1" applyAlignment="1">
      <alignment horizontal="right" vertical="center"/>
    </xf>
    <xf numFmtId="0" fontId="19" fillId="13" borderId="90" xfId="0" applyFont="1" applyFill="1" applyBorder="1" applyAlignment="1" applyProtection="1">
      <alignment horizontal="center" vertical="center"/>
      <protection locked="0"/>
    </xf>
    <xf numFmtId="0" fontId="19" fillId="13" borderId="87" xfId="0" applyFont="1" applyFill="1" applyBorder="1" applyAlignment="1" applyProtection="1">
      <alignment horizontal="center" vertical="center"/>
      <protection locked="0"/>
    </xf>
    <xf numFmtId="0" fontId="19" fillId="13" borderId="88" xfId="0" applyFont="1" applyFill="1" applyBorder="1" applyAlignment="1" applyProtection="1">
      <alignment horizontal="center" vertical="center"/>
      <protection locked="0"/>
    </xf>
    <xf numFmtId="0" fontId="19" fillId="13" borderId="89" xfId="0" applyFont="1" applyFill="1" applyBorder="1" applyAlignment="1" applyProtection="1">
      <alignment horizontal="center" vertical="center"/>
      <protection locked="0"/>
    </xf>
    <xf numFmtId="1" fontId="37" fillId="16" borderId="31" xfId="0" applyNumberFormat="1" applyFont="1" applyFill="1" applyBorder="1" applyAlignment="1">
      <alignment horizontal="center" vertical="center" wrapText="1"/>
    </xf>
    <xf numFmtId="1" fontId="37" fillId="16" borderId="74" xfId="0" applyNumberFormat="1" applyFont="1" applyFill="1" applyBorder="1" applyAlignment="1">
      <alignment horizontal="center" vertical="center" wrapText="1"/>
    </xf>
    <xf numFmtId="1" fontId="25" fillId="5" borderId="31" xfId="0" applyNumberFormat="1" applyFont="1" applyFill="1" applyBorder="1" applyAlignment="1">
      <alignment horizontal="center" vertical="center" wrapText="1" readingOrder="1"/>
    </xf>
    <xf numFmtId="1" fontId="37" fillId="16" borderId="70" xfId="0" applyNumberFormat="1" applyFont="1" applyFill="1" applyBorder="1" applyAlignment="1">
      <alignment horizontal="center" vertical="center" wrapText="1"/>
    </xf>
    <xf numFmtId="1" fontId="25" fillId="16" borderId="31" xfId="0" applyNumberFormat="1" applyFont="1" applyFill="1" applyBorder="1" applyAlignment="1">
      <alignment horizontal="center" vertical="center" wrapText="1" readingOrder="1"/>
    </xf>
    <xf numFmtId="1" fontId="25" fillId="2" borderId="0" xfId="0" applyNumberFormat="1" applyFont="1" applyFill="1" applyAlignment="1">
      <alignment horizontal="center" vertical="center" wrapText="1" readingOrder="1"/>
    </xf>
    <xf numFmtId="0" fontId="19" fillId="13" borderId="96" xfId="0" applyFont="1" applyFill="1" applyBorder="1" applyAlignment="1" applyProtection="1">
      <alignment horizontal="center" vertical="center"/>
      <protection locked="0"/>
    </xf>
    <xf numFmtId="0" fontId="19" fillId="13" borderId="97" xfId="0" applyFont="1" applyFill="1" applyBorder="1" applyAlignment="1" applyProtection="1">
      <alignment horizontal="center" vertical="center"/>
      <protection locked="0"/>
    </xf>
    <xf numFmtId="0" fontId="19" fillId="13" borderId="98" xfId="0" applyFont="1" applyFill="1" applyBorder="1" applyAlignment="1" applyProtection="1">
      <alignment horizontal="center" vertical="center"/>
      <protection locked="0"/>
    </xf>
    <xf numFmtId="0" fontId="19" fillId="13" borderId="0" xfId="0" applyFont="1" applyFill="1" applyAlignment="1" applyProtection="1">
      <alignment horizontal="center" vertical="center"/>
      <protection locked="0"/>
    </xf>
    <xf numFmtId="0" fontId="2" fillId="8" borderId="12" xfId="0" applyFont="1" applyFill="1" applyBorder="1" applyAlignment="1">
      <alignment horizontal="center" vertical="center" wrapText="1"/>
    </xf>
    <xf numFmtId="0" fontId="21" fillId="4" borderId="0" xfId="0" applyFont="1" applyFill="1" applyAlignment="1">
      <alignment horizontal="left" vertical="center" wrapText="1"/>
    </xf>
    <xf numFmtId="0" fontId="21" fillId="4" borderId="0" xfId="0" applyFont="1" applyFill="1" applyAlignment="1">
      <alignment horizontal="left" vertical="center"/>
    </xf>
    <xf numFmtId="0" fontId="5" fillId="3" borderId="9"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0" xfId="0" applyFont="1" applyFill="1" applyAlignment="1">
      <alignment horizontal="center" vertical="center"/>
    </xf>
    <xf numFmtId="0" fontId="5" fillId="3" borderId="13" xfId="0" applyFont="1" applyFill="1" applyBorder="1" applyAlignment="1">
      <alignment horizontal="center" vertical="center"/>
    </xf>
    <xf numFmtId="0" fontId="7" fillId="4" borderId="14"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15" xfId="0" applyFont="1" applyFill="1" applyBorder="1" applyAlignment="1">
      <alignment horizontal="center" vertical="center"/>
    </xf>
    <xf numFmtId="0" fontId="2" fillId="7" borderId="18" xfId="0" applyFont="1" applyFill="1" applyBorder="1" applyAlignment="1">
      <alignment horizontal="center" vertical="center" wrapText="1"/>
    </xf>
    <xf numFmtId="0" fontId="2" fillId="7" borderId="0" xfId="0" applyFont="1" applyFill="1" applyAlignment="1">
      <alignment horizontal="center" vertical="center" wrapText="1"/>
    </xf>
    <xf numFmtId="0" fontId="2" fillId="7" borderId="36" xfId="0" applyFont="1" applyFill="1" applyBorder="1" applyAlignment="1">
      <alignment horizontal="center" vertical="center" wrapText="1"/>
    </xf>
    <xf numFmtId="0" fontId="2" fillId="9" borderId="18" xfId="0" applyFont="1" applyFill="1" applyBorder="1" applyAlignment="1">
      <alignment horizontal="center" vertical="center" wrapText="1"/>
    </xf>
    <xf numFmtId="0" fontId="2" fillId="9" borderId="0" xfId="0" applyFont="1" applyFill="1" applyAlignment="1">
      <alignment horizontal="center" vertical="center" wrapText="1"/>
    </xf>
    <xf numFmtId="0" fontId="0" fillId="2" borderId="0" xfId="0" applyFill="1" applyAlignment="1">
      <alignment horizontal="center" vertical="center" wrapText="1"/>
    </xf>
    <xf numFmtId="0" fontId="34" fillId="2" borderId="0" xfId="0" applyFont="1" applyFill="1" applyAlignment="1">
      <alignment horizontal="center" vertical="center"/>
    </xf>
    <xf numFmtId="0" fontId="7" fillId="4" borderId="82" xfId="0" applyFont="1" applyFill="1" applyBorder="1" applyAlignment="1">
      <alignment horizontal="center" vertical="center" wrapText="1"/>
    </xf>
    <xf numFmtId="0" fontId="5" fillId="4" borderId="82" xfId="0" applyFont="1" applyFill="1" applyBorder="1" applyAlignment="1">
      <alignment horizontal="center" vertical="center"/>
    </xf>
    <xf numFmtId="0" fontId="5" fillId="4" borderId="83" xfId="0" applyFont="1" applyFill="1" applyBorder="1" applyAlignment="1">
      <alignment horizontal="center" vertical="center"/>
    </xf>
    <xf numFmtId="0" fontId="8" fillId="18" borderId="50" xfId="0" applyFont="1" applyFill="1" applyBorder="1" applyAlignment="1">
      <alignment horizontal="center" vertical="center" wrapText="1"/>
    </xf>
    <xf numFmtId="0" fontId="8" fillId="18" borderId="51" xfId="0" applyFont="1" applyFill="1" applyBorder="1" applyAlignment="1">
      <alignment horizontal="center" vertical="center" wrapText="1"/>
    </xf>
    <xf numFmtId="0" fontId="8" fillId="15" borderId="50" xfId="0" applyFont="1" applyFill="1" applyBorder="1" applyAlignment="1">
      <alignment horizontal="center" vertical="center" wrapText="1"/>
    </xf>
    <xf numFmtId="0" fontId="8" fillId="15" borderId="51" xfId="0" applyFont="1" applyFill="1" applyBorder="1" applyAlignment="1">
      <alignment horizontal="center" vertical="center" wrapText="1"/>
    </xf>
    <xf numFmtId="0" fontId="8" fillId="19" borderId="50" xfId="0" applyFont="1" applyFill="1" applyBorder="1" applyAlignment="1">
      <alignment horizontal="center" vertical="center" wrapText="1"/>
    </xf>
    <xf numFmtId="0" fontId="8" fillId="19" borderId="51" xfId="0" applyFont="1" applyFill="1" applyBorder="1" applyAlignment="1">
      <alignment horizontal="center" vertical="center" wrapText="1"/>
    </xf>
    <xf numFmtId="0" fontId="28" fillId="4" borderId="0" xfId="0" applyFont="1" applyFill="1" applyAlignment="1">
      <alignment horizontal="center" vertical="center"/>
    </xf>
    <xf numFmtId="0" fontId="0" fillId="4" borderId="0" xfId="0" applyFill="1" applyAlignment="1">
      <alignment horizontal="center" vertical="center"/>
    </xf>
    <xf numFmtId="0" fontId="18" fillId="13" borderId="91" xfId="0" applyFont="1" applyFill="1" applyBorder="1" applyAlignment="1" applyProtection="1">
      <alignment horizontal="center" vertical="center"/>
      <protection locked="0"/>
    </xf>
    <xf numFmtId="0" fontId="18" fillId="13" borderId="92" xfId="0" applyFont="1" applyFill="1" applyBorder="1" applyAlignment="1" applyProtection="1">
      <alignment horizontal="center" vertical="center"/>
      <protection locked="0"/>
    </xf>
    <xf numFmtId="0" fontId="40" fillId="10" borderId="0" xfId="0" applyFont="1" applyFill="1" applyAlignment="1">
      <alignment horizontal="right" vertical="center" wrapText="1" indent="1" readingOrder="1"/>
    </xf>
    <xf numFmtId="0" fontId="13" fillId="21" borderId="68" xfId="0" applyFont="1" applyFill="1" applyBorder="1" applyAlignment="1">
      <alignment horizontal="center" vertical="center" wrapText="1" readingOrder="1"/>
    </xf>
    <xf numFmtId="0" fontId="13" fillId="21" borderId="67" xfId="0" applyFont="1" applyFill="1" applyBorder="1" applyAlignment="1">
      <alignment horizontal="center" vertical="center" wrapText="1" readingOrder="1"/>
    </xf>
    <xf numFmtId="0" fontId="13" fillId="21" borderId="69" xfId="0" applyFont="1" applyFill="1" applyBorder="1" applyAlignment="1">
      <alignment horizontal="center" vertical="center" wrapText="1" readingOrder="1"/>
    </xf>
    <xf numFmtId="1" fontId="13" fillId="21" borderId="68" xfId="0" applyNumberFormat="1" applyFont="1" applyFill="1" applyBorder="1" applyAlignment="1">
      <alignment horizontal="center" vertical="center" wrapText="1" readingOrder="1"/>
    </xf>
    <xf numFmtId="1" fontId="13" fillId="21" borderId="67" xfId="0" applyNumberFormat="1" applyFont="1" applyFill="1" applyBorder="1" applyAlignment="1">
      <alignment horizontal="center" vertical="center" wrapText="1" readingOrder="1"/>
    </xf>
    <xf numFmtId="1" fontId="13" fillId="21" borderId="69" xfId="0" applyNumberFormat="1" applyFont="1" applyFill="1" applyBorder="1" applyAlignment="1">
      <alignment horizontal="center" vertical="center" wrapText="1" readingOrder="1"/>
    </xf>
    <xf numFmtId="0" fontId="13" fillId="3" borderId="0" xfId="0" applyFont="1" applyFill="1" applyAlignment="1">
      <alignment horizontal="center" vertical="center" wrapText="1" readingOrder="1"/>
    </xf>
    <xf numFmtId="0" fontId="8" fillId="19" borderId="53" xfId="0" applyFont="1" applyFill="1" applyBorder="1" applyAlignment="1">
      <alignment horizontal="center" vertical="center" wrapText="1"/>
    </xf>
    <xf numFmtId="0" fontId="8" fillId="19" borderId="54" xfId="0" applyFont="1" applyFill="1" applyBorder="1" applyAlignment="1">
      <alignment horizontal="center" vertical="center" wrapText="1"/>
    </xf>
    <xf numFmtId="0" fontId="8" fillId="19" borderId="56" xfId="0" applyFont="1" applyFill="1" applyBorder="1" applyAlignment="1">
      <alignment horizontal="center" vertical="center" wrapText="1"/>
    </xf>
    <xf numFmtId="0" fontId="8" fillId="19" borderId="0" xfId="0" applyFont="1" applyFill="1" applyAlignment="1">
      <alignment horizontal="center" vertical="center" wrapText="1"/>
    </xf>
    <xf numFmtId="0" fontId="32" fillId="21" borderId="56" xfId="0" applyFont="1" applyFill="1" applyBorder="1" applyAlignment="1">
      <alignment horizontal="center" vertical="center" wrapText="1"/>
    </xf>
    <xf numFmtId="0" fontId="32" fillId="21" borderId="0" xfId="0" applyFont="1" applyFill="1" applyAlignment="1">
      <alignment horizontal="center" vertical="center" wrapText="1"/>
    </xf>
    <xf numFmtId="0" fontId="32" fillId="21" borderId="57" xfId="0" applyFont="1" applyFill="1" applyBorder="1" applyAlignment="1">
      <alignment horizontal="center" vertical="center" wrapText="1"/>
    </xf>
    <xf numFmtId="0" fontId="8" fillId="20" borderId="53" xfId="0" applyFont="1" applyFill="1" applyBorder="1" applyAlignment="1">
      <alignment horizontal="center" vertical="center" wrapText="1"/>
    </xf>
    <xf numFmtId="0" fontId="8" fillId="20" borderId="54"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56" xfId="0" applyFont="1" applyFill="1" applyBorder="1" applyAlignment="1">
      <alignment horizontal="center" vertical="center" wrapText="1"/>
    </xf>
    <xf numFmtId="0" fontId="8" fillId="20" borderId="0" xfId="0" applyFont="1" applyFill="1" applyAlignment="1">
      <alignment horizontal="center" vertical="center" wrapText="1"/>
    </xf>
    <xf numFmtId="0" fontId="8" fillId="20" borderId="57" xfId="0" applyFont="1" applyFill="1" applyBorder="1" applyAlignment="1">
      <alignment horizontal="center" vertical="center" wrapText="1"/>
    </xf>
    <xf numFmtId="0" fontId="20" fillId="10" borderId="0" xfId="0" applyFont="1" applyFill="1" applyAlignment="1">
      <alignment horizontal="right" vertical="center" wrapText="1" indent="1" readingOrder="1"/>
    </xf>
    <xf numFmtId="164" fontId="17" fillId="21" borderId="46" xfId="0" applyNumberFormat="1" applyFont="1" applyFill="1" applyBorder="1" applyAlignment="1">
      <alignment horizontal="center" vertical="center"/>
    </xf>
    <xf numFmtId="164" fontId="17" fillId="21" borderId="48" xfId="0" applyNumberFormat="1" applyFont="1" applyFill="1" applyBorder="1" applyAlignment="1">
      <alignment horizontal="center" vertical="center"/>
    </xf>
    <xf numFmtId="164" fontId="17" fillId="21" borderId="47" xfId="0" applyNumberFormat="1" applyFont="1" applyFill="1" applyBorder="1" applyAlignment="1">
      <alignment horizontal="center" vertical="center"/>
    </xf>
    <xf numFmtId="164" fontId="17" fillId="21" borderId="49" xfId="0" applyNumberFormat="1" applyFont="1" applyFill="1" applyBorder="1" applyAlignment="1">
      <alignment horizontal="center" vertical="center"/>
    </xf>
    <xf numFmtId="0" fontId="27" fillId="3" borderId="0" xfId="0" applyFont="1" applyFill="1" applyAlignment="1">
      <alignment horizontal="center" vertical="center"/>
    </xf>
    <xf numFmtId="0" fontId="8" fillId="4" borderId="19" xfId="0" applyFont="1" applyFill="1" applyBorder="1" applyAlignment="1">
      <alignment horizontal="left" vertical="center"/>
    </xf>
    <xf numFmtId="0" fontId="8" fillId="4" borderId="20" xfId="0" applyFont="1" applyFill="1" applyBorder="1" applyAlignment="1">
      <alignment horizontal="left" vertical="center"/>
    </xf>
    <xf numFmtId="0" fontId="8" fillId="4" borderId="21" xfId="0" applyFont="1" applyFill="1" applyBorder="1" applyAlignment="1">
      <alignment horizontal="left" vertical="center"/>
    </xf>
    <xf numFmtId="0" fontId="8" fillId="4" borderId="22" xfId="0" applyFont="1" applyFill="1" applyBorder="1" applyAlignment="1">
      <alignment horizontal="left" vertical="center"/>
    </xf>
    <xf numFmtId="0" fontId="8" fillId="4" borderId="0" xfId="0" applyFont="1" applyFill="1" applyAlignment="1">
      <alignment horizontal="left" vertical="center"/>
    </xf>
    <xf numFmtId="0" fontId="8" fillId="4" borderId="23" xfId="0" applyFont="1" applyFill="1" applyBorder="1" applyAlignment="1">
      <alignment horizontal="left" vertical="center"/>
    </xf>
    <xf numFmtId="1" fontId="25" fillId="11" borderId="71" xfId="0" applyNumberFormat="1" applyFont="1" applyFill="1" applyBorder="1" applyAlignment="1">
      <alignment horizontal="center" vertical="center" wrapText="1" readingOrder="1"/>
    </xf>
    <xf numFmtId="1" fontId="25" fillId="11" borderId="72" xfId="0" applyNumberFormat="1" applyFont="1" applyFill="1" applyBorder="1" applyAlignment="1">
      <alignment horizontal="center" vertical="center" wrapText="1" readingOrder="1"/>
    </xf>
    <xf numFmtId="1" fontId="25" fillId="11" borderId="73" xfId="0" applyNumberFormat="1" applyFont="1" applyFill="1" applyBorder="1" applyAlignment="1">
      <alignment horizontal="center" vertical="center" wrapText="1" readingOrder="1"/>
    </xf>
    <xf numFmtId="0" fontId="19" fillId="4" borderId="22" xfId="0" applyFont="1" applyFill="1" applyBorder="1"/>
    <xf numFmtId="0" fontId="19" fillId="4" borderId="0" xfId="0" applyFont="1" applyFill="1"/>
    <xf numFmtId="0" fontId="19" fillId="4" borderId="23" xfId="0" applyFont="1" applyFill="1" applyBorder="1"/>
    <xf numFmtId="0" fontId="19" fillId="4" borderId="24" xfId="0" applyFont="1" applyFill="1" applyBorder="1"/>
    <xf numFmtId="0" fontId="19" fillId="4" borderId="25" xfId="0" applyFont="1" applyFill="1" applyBorder="1"/>
    <xf numFmtId="0" fontId="19" fillId="4" borderId="26" xfId="0" applyFont="1" applyFill="1" applyBorder="1"/>
    <xf numFmtId="0" fontId="8" fillId="14" borderId="53" xfId="0" applyFont="1" applyFill="1" applyBorder="1" applyAlignment="1">
      <alignment horizontal="center" vertical="center" wrapText="1"/>
    </xf>
    <xf numFmtId="0" fontId="8" fillId="14" borderId="54" xfId="0" applyFont="1" applyFill="1" applyBorder="1" applyAlignment="1">
      <alignment horizontal="center" vertical="center" wrapText="1"/>
    </xf>
    <xf numFmtId="0" fontId="8" fillId="14" borderId="56" xfId="0" applyFont="1" applyFill="1" applyBorder="1" applyAlignment="1">
      <alignment horizontal="center" vertical="center" wrapText="1"/>
    </xf>
    <xf numFmtId="0" fontId="8" fillId="14" borderId="0" xfId="0" applyFont="1" applyFill="1" applyAlignment="1">
      <alignment horizontal="center" vertical="center" wrapText="1"/>
    </xf>
    <xf numFmtId="1" fontId="25" fillId="11" borderId="60" xfId="0" applyNumberFormat="1" applyFont="1" applyFill="1" applyBorder="1" applyAlignment="1">
      <alignment horizontal="center" vertical="center" wrapText="1" readingOrder="1"/>
    </xf>
    <xf numFmtId="1" fontId="25" fillId="11" borderId="74" xfId="0" applyNumberFormat="1" applyFont="1" applyFill="1" applyBorder="1" applyAlignment="1">
      <alignment horizontal="center" vertical="center" wrapText="1" readingOrder="1"/>
    </xf>
    <xf numFmtId="1" fontId="25" fillId="11" borderId="75" xfId="0" applyNumberFormat="1" applyFont="1" applyFill="1" applyBorder="1" applyAlignment="1">
      <alignment horizontal="center" vertical="center" wrapText="1" readingOrder="1"/>
    </xf>
    <xf numFmtId="0" fontId="5" fillId="4" borderId="0" xfId="0" applyFont="1" applyFill="1" applyAlignment="1">
      <alignment horizontal="center" vertical="center"/>
    </xf>
    <xf numFmtId="0" fontId="8" fillId="4" borderId="0" xfId="0" applyFont="1" applyFill="1" applyAlignment="1">
      <alignment horizontal="center" vertical="center" wrapText="1"/>
    </xf>
    <xf numFmtId="0" fontId="35" fillId="4" borderId="1" xfId="0" applyFont="1" applyFill="1" applyBorder="1" applyAlignment="1">
      <alignment horizontal="left" vertical="center" wrapText="1" readingOrder="1"/>
    </xf>
    <xf numFmtId="0" fontId="36" fillId="4" borderId="1" xfId="0" applyFont="1" applyFill="1" applyBorder="1" applyAlignment="1">
      <alignment horizontal="left" vertical="center" wrapText="1" readingOrder="1"/>
    </xf>
    <xf numFmtId="0" fontId="36" fillId="4" borderId="17" xfId="0" applyFont="1" applyFill="1" applyBorder="1" applyAlignment="1">
      <alignment horizontal="left" vertical="center" wrapText="1" readingOrder="1"/>
    </xf>
    <xf numFmtId="0" fontId="5" fillId="3" borderId="76" xfId="0" applyFont="1" applyFill="1" applyBorder="1" applyAlignment="1">
      <alignment horizontal="center" vertical="center" wrapText="1"/>
    </xf>
    <xf numFmtId="0" fontId="5" fillId="3" borderId="77" xfId="0" applyFont="1" applyFill="1" applyBorder="1" applyAlignment="1">
      <alignment horizontal="center" vertical="center" wrapText="1"/>
    </xf>
    <xf numFmtId="0" fontId="5" fillId="3" borderId="65" xfId="0" applyFont="1" applyFill="1" applyBorder="1" applyAlignment="1">
      <alignment horizontal="center" vertical="center" wrapText="1"/>
    </xf>
    <xf numFmtId="0" fontId="17" fillId="21" borderId="68" xfId="0" applyFont="1" applyFill="1" applyBorder="1" applyAlignment="1">
      <alignment horizontal="center" vertical="center" wrapText="1" readingOrder="1"/>
    </xf>
    <xf numFmtId="0" fontId="17" fillId="21" borderId="67" xfId="0" applyFont="1" applyFill="1" applyBorder="1" applyAlignment="1">
      <alignment horizontal="center" vertical="center" wrapText="1" readingOrder="1"/>
    </xf>
    <xf numFmtId="0" fontId="8" fillId="18" borderId="54" xfId="0" applyFont="1" applyFill="1" applyBorder="1" applyAlignment="1">
      <alignment horizontal="center" vertical="center" wrapText="1"/>
    </xf>
    <xf numFmtId="0" fontId="8" fillId="18" borderId="0" xfId="0" applyFont="1" applyFill="1" applyAlignment="1">
      <alignment horizontal="center" vertical="center" wrapText="1"/>
    </xf>
    <xf numFmtId="0" fontId="0" fillId="4" borderId="22" xfId="0" applyFill="1" applyBorder="1"/>
    <xf numFmtId="0" fontId="0" fillId="4" borderId="0" xfId="0" applyFill="1"/>
    <xf numFmtId="0" fontId="0" fillId="4" borderId="23" xfId="0" applyFill="1" applyBorder="1"/>
    <xf numFmtId="0" fontId="8" fillId="18" borderId="53" xfId="0" applyFont="1" applyFill="1" applyBorder="1" applyAlignment="1">
      <alignment horizontal="center" vertical="center" wrapText="1"/>
    </xf>
    <xf numFmtId="0" fontId="8" fillId="18" borderId="56" xfId="0" applyFont="1" applyFill="1" applyBorder="1" applyAlignment="1">
      <alignment horizontal="center" vertical="center" wrapText="1"/>
    </xf>
    <xf numFmtId="0" fontId="8" fillId="15" borderId="53" xfId="0" applyFont="1" applyFill="1" applyBorder="1" applyAlignment="1">
      <alignment horizontal="center" vertical="center" wrapText="1"/>
    </xf>
    <xf numFmtId="0" fontId="8" fillId="15" borderId="54" xfId="0" applyFont="1" applyFill="1" applyBorder="1" applyAlignment="1">
      <alignment horizontal="center" vertical="center" wrapText="1"/>
    </xf>
    <xf numFmtId="0" fontId="8" fillId="15" borderId="56" xfId="0" applyFont="1" applyFill="1" applyBorder="1" applyAlignment="1">
      <alignment horizontal="center" vertical="center" wrapText="1"/>
    </xf>
    <xf numFmtId="0" fontId="8" fillId="15" borderId="0" xfId="0" applyFont="1" applyFill="1" applyAlignment="1">
      <alignment horizontal="center" vertical="center" wrapText="1"/>
    </xf>
    <xf numFmtId="0" fontId="3" fillId="4" borderId="19" xfId="0" applyFont="1" applyFill="1" applyBorder="1" applyAlignment="1">
      <alignment horizontal="left" vertical="center"/>
    </xf>
    <xf numFmtId="0" fontId="3" fillId="4" borderId="20" xfId="0" applyFont="1" applyFill="1" applyBorder="1" applyAlignment="1">
      <alignment horizontal="left" vertical="center"/>
    </xf>
    <xf numFmtId="0" fontId="3" fillId="4" borderId="21" xfId="0" applyFont="1" applyFill="1" applyBorder="1" applyAlignment="1">
      <alignment horizontal="left" vertical="center"/>
    </xf>
    <xf numFmtId="0" fontId="3" fillId="4" borderId="22" xfId="0" applyFont="1" applyFill="1" applyBorder="1" applyAlignment="1">
      <alignment horizontal="left" vertical="center"/>
    </xf>
    <xf numFmtId="0" fontId="3" fillId="4" borderId="0" xfId="0" applyFont="1" applyFill="1" applyAlignment="1">
      <alignment horizontal="left" vertical="center"/>
    </xf>
    <xf numFmtId="0" fontId="3" fillId="4" borderId="23" xfId="0" applyFont="1" applyFill="1" applyBorder="1" applyAlignment="1">
      <alignment horizontal="left" vertical="center"/>
    </xf>
    <xf numFmtId="166" fontId="23" fillId="11" borderId="58" xfId="0" applyNumberFormat="1" applyFont="1" applyFill="1" applyBorder="1" applyAlignment="1">
      <alignment horizontal="center" vertical="center" wrapText="1" readingOrder="1"/>
    </xf>
    <xf numFmtId="166" fontId="23" fillId="11" borderId="29" xfId="0" applyNumberFormat="1" applyFont="1" applyFill="1" applyBorder="1" applyAlignment="1">
      <alignment horizontal="center" vertical="center" wrapText="1" readingOrder="1"/>
    </xf>
    <xf numFmtId="166" fontId="23" fillId="11" borderId="66" xfId="0" applyNumberFormat="1" applyFont="1" applyFill="1" applyBorder="1" applyAlignment="1">
      <alignment horizontal="center" vertical="center" wrapText="1" readingOrder="1"/>
    </xf>
    <xf numFmtId="0" fontId="10" fillId="11" borderId="60" xfId="0" applyFont="1" applyFill="1" applyBorder="1" applyAlignment="1">
      <alignment horizontal="center" vertical="center" wrapText="1" readingOrder="1"/>
    </xf>
    <xf numFmtId="0" fontId="10" fillId="11" borderId="74" xfId="0" applyFont="1" applyFill="1" applyBorder="1" applyAlignment="1">
      <alignment horizontal="center" vertical="center" wrapText="1" readingOrder="1"/>
    </xf>
    <xf numFmtId="0" fontId="10" fillId="11" borderId="75" xfId="0" applyFont="1" applyFill="1" applyBorder="1" applyAlignment="1">
      <alignment horizontal="center" vertical="center" wrapText="1" readingOrder="1"/>
    </xf>
    <xf numFmtId="0" fontId="2" fillId="21" borderId="68" xfId="0" applyFont="1" applyFill="1" applyBorder="1" applyAlignment="1">
      <alignment horizontal="center" vertical="center" wrapText="1" readingOrder="1"/>
    </xf>
    <xf numFmtId="0" fontId="2" fillId="21" borderId="67" xfId="0" applyFont="1" applyFill="1" applyBorder="1" applyAlignment="1">
      <alignment horizontal="center" vertical="center" wrapText="1" readingOrder="1"/>
    </xf>
    <xf numFmtId="0" fontId="2" fillId="21" borderId="69" xfId="0" applyFont="1" applyFill="1" applyBorder="1" applyAlignment="1">
      <alignment horizontal="center" vertical="center" wrapText="1" readingOrder="1"/>
    </xf>
    <xf numFmtId="0" fontId="30" fillId="4" borderId="1" xfId="0" applyFont="1" applyFill="1" applyBorder="1" applyAlignment="1">
      <alignment horizontal="left" vertical="center" wrapText="1" readingOrder="1"/>
    </xf>
    <xf numFmtId="0" fontId="31" fillId="4" borderId="1" xfId="0" applyFont="1" applyFill="1" applyBorder="1" applyAlignment="1">
      <alignment horizontal="left" vertical="center" wrapText="1" readingOrder="1"/>
    </xf>
    <xf numFmtId="0" fontId="31" fillId="4" borderId="17" xfId="0" applyFont="1" applyFill="1" applyBorder="1" applyAlignment="1">
      <alignment horizontal="left" vertical="center" wrapText="1" readingOrder="1"/>
    </xf>
  </cellXfs>
  <cellStyles count="3">
    <cellStyle name="Monétaire" xfId="2" builtinId="4"/>
    <cellStyle name="Normal" xfId="0" builtinId="0"/>
    <cellStyle name="Pourcentage" xfId="1" builtinId="5"/>
  </cellStyles>
  <dxfs count="42">
    <dxf>
      <font>
        <color rgb="FF9C0006"/>
      </font>
      <fill>
        <patternFill>
          <bgColor rgb="FFFFC7CE"/>
        </patternFill>
      </fill>
    </dxf>
    <dxf>
      <font>
        <color rgb="FF006100"/>
      </font>
      <fill>
        <patternFill>
          <bgColor rgb="FFC6EFCE"/>
        </patternFill>
      </fill>
    </dxf>
    <dxf>
      <font>
        <color rgb="FF9C0006"/>
      </font>
      <fill>
        <patternFill>
          <bgColor rgb="FFFFC7CE"/>
        </patternFill>
      </fill>
    </dxf>
    <dxf>
      <numFmt numFmtId="1" formatCode="0"/>
      <alignment horizontal="center" vertical="bottom" textRotation="0" wrapText="0" indent="0" justifyLastLine="0" shrinkToFit="0" readingOrder="0"/>
    </dxf>
    <dxf>
      <font>
        <b/>
        <i val="0"/>
        <strike val="0"/>
        <condense val="0"/>
        <extend val="0"/>
        <outline val="0"/>
        <shadow val="0"/>
        <u val="none"/>
        <vertAlign val="baseline"/>
        <sz val="14"/>
        <color theme="0"/>
        <name val="Quire Sans Pro Light"/>
        <family val="2"/>
        <scheme val="minor"/>
      </font>
      <fill>
        <patternFill patternType="solid">
          <fgColor indexed="64"/>
          <bgColor theme="3"/>
        </patternFill>
      </fill>
      <alignment horizontal="center" vertical="center" textRotation="0" wrapText="0" indent="0" justifyLastLine="0" shrinkToFit="0" readingOrder="0"/>
    </dxf>
    <dxf>
      <numFmt numFmtId="1" formatCode="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font>
        <b/>
        <i val="0"/>
        <strike val="0"/>
        <condense val="0"/>
        <extend val="0"/>
        <outline val="0"/>
        <shadow val="0"/>
        <u val="none"/>
        <vertAlign val="baseline"/>
        <sz val="14"/>
        <color theme="0"/>
        <name val="Quire Sans Pro Light"/>
        <family val="2"/>
        <scheme val="minor"/>
      </font>
      <fill>
        <patternFill patternType="solid">
          <fgColor indexed="64"/>
          <bgColor theme="3"/>
        </patternFill>
      </fill>
      <alignment horizontal="center" vertical="center" textRotation="0" wrapText="0" indent="0" justifyLastLine="0" shrinkToFit="0" readingOrder="0"/>
    </dxf>
    <dxf>
      <numFmt numFmtId="164" formatCode="0.0"/>
      <alignment horizontal="center" vertical="bottom" textRotation="0" wrapText="0" indent="0" justifyLastLine="0" shrinkToFit="0" readingOrder="0"/>
    </dxf>
    <dxf>
      <numFmt numFmtId="164" formatCode="0.0"/>
      <alignment horizontal="center" vertical="bottom" textRotation="0" wrapText="0" indent="0" justifyLastLine="0" shrinkToFit="0" readingOrder="0"/>
    </dxf>
    <dxf>
      <font>
        <b/>
        <i val="0"/>
        <strike val="0"/>
        <condense val="0"/>
        <extend val="0"/>
        <outline val="0"/>
        <shadow val="0"/>
        <u val="none"/>
        <vertAlign val="baseline"/>
        <sz val="14"/>
        <color theme="0"/>
        <name val="Quire Sans Pro Light"/>
        <family val="2"/>
        <scheme val="minor"/>
      </font>
      <fill>
        <patternFill patternType="solid">
          <fgColor indexed="64"/>
          <bgColor theme="3"/>
        </patternFill>
      </fill>
      <alignment horizontal="center" vertical="center" textRotation="0" wrapText="0" indent="0" justifyLastLine="0" shrinkToFit="0" readingOrder="0"/>
    </dxf>
    <dxf>
      <fill>
        <patternFill patternType="none">
          <fgColor indexed="64"/>
          <bgColor indexed="65"/>
        </patternFill>
      </fill>
      <alignment horizontal="center" vertical="bottom"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ill>
        <patternFill patternType="solid">
          <fgColor indexed="64"/>
          <bgColor theme="2" tint="0.79998168889431442"/>
        </patternFill>
      </fill>
      <alignment horizontal="center" vertical="bottom" textRotation="0" wrapText="0" indent="0" justifyLastLine="0" shrinkToFit="0" readingOrder="0"/>
    </dxf>
    <dxf>
      <fill>
        <patternFill patternType="solid">
          <fgColor indexed="64"/>
          <bgColor theme="2" tint="0.79998168889431442"/>
        </patternFill>
      </fill>
      <alignment horizontal="center" vertical="bottom" textRotation="0" wrapText="0" indent="0" justifyLastLine="0" shrinkToFit="0" readingOrder="0"/>
    </dxf>
    <dxf>
      <fill>
        <patternFill patternType="solid">
          <fgColor indexed="64"/>
          <bgColor theme="2" tint="0.79998168889431442"/>
        </patternFill>
      </fill>
      <alignment horizontal="center" vertical="bottom" textRotation="0" wrapText="0" indent="0" justifyLastLine="0" shrinkToFit="0" readingOrder="0"/>
    </dxf>
    <dxf>
      <fill>
        <patternFill patternType="solid">
          <fgColor indexed="64"/>
          <bgColor theme="2" tint="0.79998168889431442"/>
        </patternFill>
      </fill>
      <alignment horizontal="center" vertical="bottom" textRotation="0" wrapText="0" indent="0" justifyLastLine="0" shrinkToFit="0" readingOrder="0"/>
    </dxf>
    <dxf>
      <fill>
        <patternFill patternType="solid">
          <fgColor indexed="64"/>
          <bgColor theme="2" tint="0.79998168889431442"/>
        </patternFill>
      </fill>
      <alignment horizontal="center" vertical="bottom" textRotation="0" wrapText="0" indent="0" justifyLastLine="0" shrinkToFit="0" readingOrder="0"/>
    </dxf>
    <dxf>
      <fill>
        <patternFill patternType="solid">
          <fgColor indexed="64"/>
          <bgColor theme="2" tint="0.79998168889431442"/>
        </patternFill>
      </fill>
      <alignment horizontal="center" vertical="bottom" textRotation="0" wrapText="0" indent="0" justifyLastLine="0" shrinkToFit="0" readingOrder="0"/>
    </dxf>
    <dxf>
      <fill>
        <patternFill patternType="solid">
          <fgColor indexed="64"/>
          <bgColor theme="2" tint="0.79998168889431442"/>
        </patternFill>
      </fill>
      <alignment horizontal="center" vertical="bottom" textRotation="0" wrapText="0" indent="0" justifyLastLine="0" shrinkToFit="0" readingOrder="0"/>
    </dxf>
    <dxf>
      <fill>
        <patternFill patternType="solid">
          <fgColor indexed="64"/>
          <bgColor theme="2" tint="0.79998168889431442"/>
        </patternFill>
      </fill>
      <alignment horizontal="center" vertical="bottom" textRotation="0" wrapText="0" indent="0" justifyLastLine="0" shrinkToFit="0" readingOrder="0"/>
    </dxf>
    <dxf>
      <fill>
        <patternFill patternType="solid">
          <fgColor indexed="64"/>
          <bgColor theme="2" tint="0.79998168889431442"/>
        </patternFill>
      </fill>
      <alignment horizontal="center" vertical="bottom" textRotation="0" wrapText="0" indent="0" justifyLastLine="0" shrinkToFit="0" readingOrder="0"/>
    </dxf>
    <dxf>
      <fill>
        <patternFill patternType="solid">
          <fgColor indexed="64"/>
          <bgColor theme="2" tint="0.79998168889431442"/>
        </patternFill>
      </fil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4"/>
        <color theme="0"/>
        <name val="Quire Sans Pro Light"/>
        <family val="2"/>
        <scheme val="minor"/>
      </font>
      <fill>
        <patternFill patternType="solid">
          <fgColor indexed="64"/>
          <bgColor theme="3"/>
        </patternFill>
      </fill>
      <alignment horizontal="center" vertical="center" textRotation="0" wrapText="0" indent="0" justifyLastLine="0" shrinkToFit="0" readingOrder="0"/>
    </dxf>
    <dxf>
      <alignment horizontal="center" vertical="bottom"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2"/>
        <color theme="1"/>
        <name val="Quire Sans Pro Light"/>
        <family val="2"/>
        <scheme val="minor"/>
      </font>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4"/>
        <color theme="0"/>
        <name val="Quire Sans Pro Light"/>
        <family val="2"/>
        <scheme val="minor"/>
      </font>
      <fill>
        <patternFill patternType="solid">
          <fgColor indexed="64"/>
          <bgColor theme="3"/>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svg"/><Relationship Id="rId7" Type="http://schemas.openxmlformats.org/officeDocument/2006/relationships/image" Target="../media/image9.svg"/><Relationship Id="rId2" Type="http://schemas.openxmlformats.org/officeDocument/2006/relationships/image" Target="../media/image4.png"/><Relationship Id="rId1" Type="http://schemas.openxmlformats.org/officeDocument/2006/relationships/image" Target="../media/image2.png"/><Relationship Id="rId6" Type="http://schemas.openxmlformats.org/officeDocument/2006/relationships/image" Target="../media/image8.png"/><Relationship Id="rId5" Type="http://schemas.openxmlformats.org/officeDocument/2006/relationships/image" Target="../media/image7.svg"/><Relationship Id="rId4" Type="http://schemas.openxmlformats.org/officeDocument/2006/relationships/image" Target="../media/image6.png"/><Relationship Id="rId9" Type="http://schemas.openxmlformats.org/officeDocument/2006/relationships/image" Target="../media/image11.svg"/></Relationships>
</file>

<file path=xl/drawings/_rels/drawing4.xml.rels><?xml version="1.0" encoding="UTF-8" standalone="yes"?>
<Relationships xmlns="http://schemas.openxmlformats.org/package/2006/relationships"><Relationship Id="rId3" Type="http://schemas.openxmlformats.org/officeDocument/2006/relationships/image" Target="../media/image13.svg"/><Relationship Id="rId2" Type="http://schemas.openxmlformats.org/officeDocument/2006/relationships/image" Target="../media/image12.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14.svg"/><Relationship Id="rId2" Type="http://schemas.openxmlformats.org/officeDocument/2006/relationships/image" Target="../media/image12.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628650</xdr:colOff>
      <xdr:row>0</xdr:row>
      <xdr:rowOff>175259</xdr:rowOff>
    </xdr:from>
    <xdr:to>
      <xdr:col>14</xdr:col>
      <xdr:colOff>478155</xdr:colOff>
      <xdr:row>16</xdr:row>
      <xdr:rowOff>9525</xdr:rowOff>
    </xdr:to>
    <xdr:sp macro="" textlink="">
      <xdr:nvSpPr>
        <xdr:cNvPr id="2" name="Rectangle 1">
          <a:extLst>
            <a:ext uri="{FF2B5EF4-FFF2-40B4-BE49-F238E27FC236}">
              <a16:creationId xmlns:a16="http://schemas.microsoft.com/office/drawing/2014/main" id="{00000000-0008-0000-0000-000002000000}"/>
            </a:ext>
          </a:extLst>
        </xdr:cNvPr>
        <xdr:cNvSpPr/>
      </xdr:nvSpPr>
      <xdr:spPr>
        <a:xfrm>
          <a:off x="628650" y="175259"/>
          <a:ext cx="11851005" cy="2729866"/>
        </a:xfrm>
        <a:prstGeom prst="rect">
          <a:avLst/>
        </a:prstGeom>
        <a:solidFill>
          <a:schemeClr val="bg1"/>
        </a:solidFill>
        <a:ln w="38100">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fr-FR" sz="1400" b="1" u="sng">
            <a:solidFill>
              <a:schemeClr val="tx1">
                <a:lumMod val="90000"/>
                <a:lumOff val="10000"/>
              </a:schemeClr>
            </a:solidFill>
          </a:endParaRPr>
        </a:p>
        <a:p>
          <a:pPr algn="ctr"/>
          <a:r>
            <a:rPr lang="fr-FR" sz="1600" b="1" u="none">
              <a:solidFill>
                <a:schemeClr val="tx1">
                  <a:lumMod val="90000"/>
                  <a:lumOff val="10000"/>
                </a:schemeClr>
              </a:solidFill>
            </a:rPr>
            <a:t>Outil</a:t>
          </a:r>
          <a:r>
            <a:rPr lang="fr-FR" sz="1600" b="1" u="none" baseline="0">
              <a:solidFill>
                <a:schemeClr val="tx1">
                  <a:lumMod val="90000"/>
                  <a:lumOff val="10000"/>
                </a:schemeClr>
              </a:solidFill>
            </a:rPr>
            <a:t> de calcul des effectifs médicaux séniors d'un service de cardiologie</a:t>
          </a:r>
        </a:p>
        <a:p>
          <a:pPr algn="ctr"/>
          <a:endParaRPr lang="fr-FR" sz="1600" b="1" u="none" baseline="0">
            <a:solidFill>
              <a:schemeClr val="tx1">
                <a:lumMod val="90000"/>
                <a:lumOff val="10000"/>
              </a:schemeClr>
            </a:solidFill>
          </a:endParaRPr>
        </a:p>
        <a:p>
          <a:pPr algn="l"/>
          <a:r>
            <a:rPr lang="fr-FR" sz="1400" b="0" u="none" baseline="0">
              <a:solidFill>
                <a:schemeClr val="tx1">
                  <a:lumMod val="90000"/>
                  <a:lumOff val="10000"/>
                </a:schemeClr>
              </a:solidFill>
            </a:rPr>
            <a:t>Cet outil de calcul permet de faire une estimation des effectifs cibles de médecins séniors nécessaires au bon fonctionnement d'un service de cardiologie selon sa taille et son capacitaire. Cette réflexion est née du constat qu'il existe énormément de recommandations ou d'obligations légales de dimensionnement des effectifs paramédicaux en cardiologie mais très peu des effectifs médicaux. </a:t>
          </a:r>
        </a:p>
        <a:p>
          <a:pPr algn="l"/>
          <a:r>
            <a:rPr lang="fr-FR" sz="1400" b="0" u="none" baseline="0">
              <a:solidFill>
                <a:schemeClr val="tx1">
                  <a:lumMod val="90000"/>
                  <a:lumOff val="10000"/>
                </a:schemeClr>
              </a:solidFill>
            </a:rPr>
            <a:t>Cet outil présente une estimation cible qui est néanmoins réaliste. Nous avons intégrer dans nos calculs des paramètres souvent oubliés dans l'allocation des ressources humaines comme le taux d'absantéisme ou le travail non posté moyens qu'il faut pourtant prendre en compte si l'on veut réellement évaluer les besoins en effectif médicaux. Tout service de cardiologie devrait tendre vers les effectifs qui lui seront préconisés avec ce outil en fonction de son capcitaire.  </a:t>
          </a:r>
        </a:p>
        <a:p>
          <a:pPr algn="l"/>
          <a:endParaRPr lang="fr-FR" sz="1400" b="0" u="none" baseline="0">
            <a:solidFill>
              <a:schemeClr val="tx1">
                <a:lumMod val="90000"/>
                <a:lumOff val="10000"/>
              </a:schemeClr>
            </a:solidFill>
          </a:endParaRPr>
        </a:p>
        <a:p>
          <a:pPr algn="l"/>
          <a:r>
            <a:rPr lang="fr-FR" sz="1400" b="0" u="none" baseline="0">
              <a:solidFill>
                <a:schemeClr val="tx1">
                  <a:lumMod val="90000"/>
                  <a:lumOff val="10000"/>
                </a:schemeClr>
              </a:solidFill>
            </a:rPr>
            <a:t>Chaque onglet du fichier est présenté et détaillé ci-dessous pour que vous puissiez comprendre la strucutre de l'outil et l'utiliser </a:t>
          </a:r>
          <a:r>
            <a:rPr lang="fr-FR" sz="1400" b="0" u="none" baseline="0"/>
            <a:t>très facilement </a:t>
          </a:r>
        </a:p>
        <a:p>
          <a:pPr algn="l"/>
          <a:endParaRPr lang="fr-FR" sz="1400" b="0" u="none" baseline="0"/>
        </a:p>
        <a:p>
          <a:pPr algn="l"/>
          <a:endParaRPr lang="fr-FR" sz="1400" b="0" u="none" baseline="0"/>
        </a:p>
        <a:p>
          <a:pPr algn="l"/>
          <a:endParaRPr lang="fr-FR" sz="1400" b="0" u="none" baseline="0"/>
        </a:p>
        <a:p>
          <a:pPr algn="ctr"/>
          <a:endParaRPr lang="fr-FR" sz="1600" b="1" u="none" baseline="0"/>
        </a:p>
        <a:p>
          <a:pPr algn="ctr"/>
          <a:r>
            <a:rPr lang="fr-FR" sz="1600" b="1" u="none" baseline="0"/>
            <a:t> </a:t>
          </a:r>
          <a:endParaRPr lang="fr-FR" sz="1600" b="1" u="none"/>
        </a:p>
      </xdr:txBody>
    </xdr:sp>
    <xdr:clientData/>
  </xdr:twoCellAnchor>
  <xdr:twoCellAnchor editAs="oneCell">
    <xdr:from>
      <xdr:col>1</xdr:col>
      <xdr:colOff>294879</xdr:colOff>
      <xdr:row>1</xdr:row>
      <xdr:rowOff>394</xdr:rowOff>
    </xdr:from>
    <xdr:to>
      <xdr:col>1</xdr:col>
      <xdr:colOff>797719</xdr:colOff>
      <xdr:row>4</xdr:row>
      <xdr:rowOff>58865</xdr:rowOff>
    </xdr:to>
    <xdr:pic>
      <xdr:nvPicPr>
        <xdr:cNvPr id="6" name="Imag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129" y="178988"/>
          <a:ext cx="502840" cy="594252"/>
        </a:xfrm>
        <a:prstGeom prst="rect">
          <a:avLst/>
        </a:prstGeom>
      </xdr:spPr>
    </xdr:pic>
    <xdr:clientData/>
  </xdr:twoCellAnchor>
  <xdr:twoCellAnchor editAs="oneCell">
    <xdr:from>
      <xdr:col>12</xdr:col>
      <xdr:colOff>710567</xdr:colOff>
      <xdr:row>1</xdr:row>
      <xdr:rowOff>112396</xdr:rowOff>
    </xdr:from>
    <xdr:to>
      <xdr:col>14</xdr:col>
      <xdr:colOff>134849</xdr:colOff>
      <xdr:row>4</xdr:row>
      <xdr:rowOff>0</xdr:rowOff>
    </xdr:to>
    <xdr:pic>
      <xdr:nvPicPr>
        <xdr:cNvPr id="7" name="Picture 2" descr="C.N.C.H. : Collège National des Cardiologues des Hôpitaux">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997567" y="293371"/>
          <a:ext cx="1131162" cy="409574"/>
        </a:xfrm>
        <a:prstGeom prst="roundRect">
          <a:avLst>
            <a:gd name="adj" fmla="val 3842"/>
          </a:avLst>
        </a:prstGeom>
        <a:solidFill>
          <a:sysClr val="window" lastClr="FFFFFF"/>
        </a:solidFill>
      </xdr:spPr>
    </xdr:pic>
    <xdr:clientData/>
  </xdr:twoCellAnchor>
  <xdr:twoCellAnchor>
    <xdr:from>
      <xdr:col>0</xdr:col>
      <xdr:colOff>278130</xdr:colOff>
      <xdr:row>18</xdr:row>
      <xdr:rowOff>121920</xdr:rowOff>
    </xdr:from>
    <xdr:to>
      <xdr:col>6</xdr:col>
      <xdr:colOff>19050</xdr:colOff>
      <xdr:row>31</xdr:row>
      <xdr:rowOff>38100</xdr:rowOff>
    </xdr:to>
    <xdr:sp macro="" textlink="">
      <xdr:nvSpPr>
        <xdr:cNvPr id="3" name="Rectangle 7">
          <a:extLst>
            <a:ext uri="{FF2B5EF4-FFF2-40B4-BE49-F238E27FC236}">
              <a16:creationId xmlns:a16="http://schemas.microsoft.com/office/drawing/2014/main" id="{00000000-0008-0000-0000-000003000000}"/>
            </a:ext>
          </a:extLst>
        </xdr:cNvPr>
        <xdr:cNvSpPr/>
      </xdr:nvSpPr>
      <xdr:spPr>
        <a:xfrm>
          <a:off x="278130" y="3379470"/>
          <a:ext cx="4884420" cy="2268855"/>
        </a:xfrm>
        <a:prstGeom prst="rect">
          <a:avLst/>
        </a:prstGeom>
        <a:solidFill>
          <a:schemeClr val="accent3">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400" b="1">
              <a:solidFill>
                <a:schemeClr val="tx1">
                  <a:lumMod val="90000"/>
                  <a:lumOff val="10000"/>
                </a:schemeClr>
              </a:solidFill>
            </a:rPr>
            <a:t>Onglet "Référentiel"</a:t>
          </a:r>
        </a:p>
      </xdr:txBody>
    </xdr:sp>
    <xdr:clientData/>
  </xdr:twoCellAnchor>
  <xdr:twoCellAnchor>
    <xdr:from>
      <xdr:col>0</xdr:col>
      <xdr:colOff>478155</xdr:colOff>
      <xdr:row>20</xdr:row>
      <xdr:rowOff>114300</xdr:rowOff>
    </xdr:from>
    <xdr:to>
      <xdr:col>5</xdr:col>
      <xdr:colOff>619125</xdr:colOff>
      <xdr:row>30</xdr:row>
      <xdr:rowOff>47625</xdr:rowOff>
    </xdr:to>
    <xdr:sp macro="" textlink="">
      <xdr:nvSpPr>
        <xdr:cNvPr id="9" name="Rectangle : coins arrondis 8">
          <a:extLst>
            <a:ext uri="{FF2B5EF4-FFF2-40B4-BE49-F238E27FC236}">
              <a16:creationId xmlns:a16="http://schemas.microsoft.com/office/drawing/2014/main" id="{00000000-0008-0000-0000-000009000000}"/>
            </a:ext>
          </a:extLst>
        </xdr:cNvPr>
        <xdr:cNvSpPr/>
      </xdr:nvSpPr>
      <xdr:spPr>
        <a:xfrm>
          <a:off x="478155" y="3733800"/>
          <a:ext cx="4427220" cy="1743075"/>
        </a:xfrm>
        <a:prstGeom prst="roundRect">
          <a:avLst>
            <a:gd name="adj" fmla="val 6654"/>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0">
              <a:solidFill>
                <a:schemeClr val="tx1">
                  <a:lumMod val="90000"/>
                  <a:lumOff val="10000"/>
                </a:schemeClr>
              </a:solidFill>
            </a:rPr>
            <a:t>Il s'agit</a:t>
          </a:r>
          <a:r>
            <a:rPr lang="fr-FR" sz="1100" b="0" baseline="0">
              <a:solidFill>
                <a:schemeClr val="tx1">
                  <a:lumMod val="90000"/>
                  <a:lumOff val="10000"/>
                </a:schemeClr>
              </a:solidFill>
            </a:rPr>
            <a:t> des </a:t>
          </a:r>
          <a:r>
            <a:rPr lang="fr-FR" sz="1100" b="0">
              <a:solidFill>
                <a:schemeClr val="tx1">
                  <a:lumMod val="90000"/>
                  <a:lumOff val="10000"/>
                </a:schemeClr>
              </a:solidFill>
            </a:rPr>
            <a:t>considérations légales et hypothèses de calcul que nous avons déterminer pour réaliser</a:t>
          </a:r>
          <a:r>
            <a:rPr lang="fr-FR" sz="1100" b="0" baseline="0">
              <a:solidFill>
                <a:schemeClr val="tx1">
                  <a:lumMod val="90000"/>
                  <a:lumOff val="10000"/>
                </a:schemeClr>
              </a:solidFill>
            </a:rPr>
            <a:t> une estimation des effectifs cibles d'un service de cardiologie. </a:t>
          </a:r>
        </a:p>
        <a:p>
          <a:pPr algn="l"/>
          <a:r>
            <a:rPr lang="fr-FR" sz="1100" b="0" baseline="0">
              <a:solidFill>
                <a:schemeClr val="tx1">
                  <a:lumMod val="90000"/>
                  <a:lumOff val="10000"/>
                </a:schemeClr>
              </a:solidFill>
            </a:rPr>
            <a:t>Les hypothèses de calcul sont issues, pour une part, de standards organisationnels que l'on peut vérifier sur SAE diffusion, Google et pour une autre part, d'un groupe de réflexion composé de plusieurs cardiologues.</a:t>
          </a:r>
        </a:p>
        <a:p>
          <a:pPr algn="l"/>
          <a:endParaRPr lang="fr-FR" sz="1100" baseline="0">
            <a:solidFill>
              <a:schemeClr val="tx1">
                <a:lumMod val="90000"/>
                <a:lumOff val="10000"/>
              </a:schemeClr>
            </a:solidFill>
          </a:endParaRPr>
        </a:p>
        <a:p>
          <a:pPr algn="l"/>
          <a:r>
            <a:rPr lang="fr-FR" sz="1100" b="1" baseline="0">
              <a:solidFill>
                <a:srgbClr val="FF0000"/>
              </a:solidFill>
            </a:rPr>
            <a:t>NB : L'onglet est non modifiable </a:t>
          </a:r>
        </a:p>
      </xdr:txBody>
    </xdr:sp>
    <xdr:clientData/>
  </xdr:twoCellAnchor>
  <xdr:twoCellAnchor>
    <xdr:from>
      <xdr:col>7</xdr:col>
      <xdr:colOff>847725</xdr:colOff>
      <xdr:row>18</xdr:row>
      <xdr:rowOff>110490</xdr:rowOff>
    </xdr:from>
    <xdr:to>
      <xdr:col>13</xdr:col>
      <xdr:colOff>609600</xdr:colOff>
      <xdr:row>31</xdr:row>
      <xdr:rowOff>20955</xdr:rowOff>
    </xdr:to>
    <xdr:sp macro="" textlink="">
      <xdr:nvSpPr>
        <xdr:cNvPr id="5" name="Rectangle 9">
          <a:extLst>
            <a:ext uri="{FF2B5EF4-FFF2-40B4-BE49-F238E27FC236}">
              <a16:creationId xmlns:a16="http://schemas.microsoft.com/office/drawing/2014/main" id="{00000000-0008-0000-0000-000005000000}"/>
            </a:ext>
          </a:extLst>
        </xdr:cNvPr>
        <xdr:cNvSpPr/>
      </xdr:nvSpPr>
      <xdr:spPr>
        <a:xfrm>
          <a:off x="6848475" y="3368040"/>
          <a:ext cx="4905375" cy="2263140"/>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400" b="1">
              <a:solidFill>
                <a:schemeClr val="tx1">
                  <a:lumMod val="90000"/>
                  <a:lumOff val="10000"/>
                </a:schemeClr>
              </a:solidFill>
            </a:rPr>
            <a:t>Onglet "Caractéristiques du service"</a:t>
          </a:r>
        </a:p>
      </xdr:txBody>
    </xdr:sp>
    <xdr:clientData/>
  </xdr:twoCellAnchor>
  <xdr:twoCellAnchor>
    <xdr:from>
      <xdr:col>8</xdr:col>
      <xdr:colOff>182880</xdr:colOff>
      <xdr:row>20</xdr:row>
      <xdr:rowOff>93345</xdr:rowOff>
    </xdr:from>
    <xdr:to>
      <xdr:col>13</xdr:col>
      <xdr:colOff>342900</xdr:colOff>
      <xdr:row>30</xdr:row>
      <xdr:rowOff>55245</xdr:rowOff>
    </xdr:to>
    <xdr:sp macro="" textlink="">
      <xdr:nvSpPr>
        <xdr:cNvPr id="4" name="Rectangle : coins arrondis 10">
          <a:extLst>
            <a:ext uri="{FF2B5EF4-FFF2-40B4-BE49-F238E27FC236}">
              <a16:creationId xmlns:a16="http://schemas.microsoft.com/office/drawing/2014/main" id="{00000000-0008-0000-0000-000004000000}"/>
            </a:ext>
          </a:extLst>
        </xdr:cNvPr>
        <xdr:cNvSpPr/>
      </xdr:nvSpPr>
      <xdr:spPr>
        <a:xfrm>
          <a:off x="7040880" y="3712845"/>
          <a:ext cx="4446270" cy="1771650"/>
        </a:xfrm>
        <a:prstGeom prst="roundRect">
          <a:avLst>
            <a:gd name="adj" fmla="val 6654"/>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0">
              <a:solidFill>
                <a:schemeClr val="tx1">
                  <a:lumMod val="90000"/>
                  <a:lumOff val="10000"/>
                </a:schemeClr>
              </a:solidFill>
            </a:rPr>
            <a:t>Cet onglet</a:t>
          </a:r>
          <a:r>
            <a:rPr lang="fr-FR" sz="1100" b="0" baseline="0">
              <a:solidFill>
                <a:schemeClr val="tx1">
                  <a:lumMod val="90000"/>
                  <a:lumOff val="10000"/>
                </a:schemeClr>
              </a:solidFill>
            </a:rPr>
            <a:t> vous permettra de renseigner toutes les informations complémentaires indispensables à l'outil : ce sont les caractéristiques spécifiques de votre service, tel que votre capacitaire et le détail de vos différentes activités de cardiologie  </a:t>
          </a:r>
        </a:p>
        <a:p>
          <a:pPr algn="l"/>
          <a:endParaRPr lang="fr-FR" sz="1100" baseline="0">
            <a:solidFill>
              <a:schemeClr val="accent1">
                <a:lumMod val="75000"/>
              </a:schemeClr>
            </a:solidFill>
          </a:endParaRPr>
        </a:p>
        <a:p>
          <a:pPr algn="l"/>
          <a:r>
            <a:rPr lang="fr-FR" sz="1100" b="1" baseline="0">
              <a:solidFill>
                <a:schemeClr val="accent1">
                  <a:lumMod val="75000"/>
                </a:schemeClr>
              </a:solidFill>
            </a:rPr>
            <a:t>NB : Toutes les cases vides sont à remplir par l'utilisateur. C'est d'ailleurs le seul onglet à compléter. </a:t>
          </a:r>
        </a:p>
      </xdr:txBody>
    </xdr:sp>
    <xdr:clientData/>
  </xdr:twoCellAnchor>
  <xdr:twoCellAnchor>
    <xdr:from>
      <xdr:col>0</xdr:col>
      <xdr:colOff>265883</xdr:colOff>
      <xdr:row>32</xdr:row>
      <xdr:rowOff>130084</xdr:rowOff>
    </xdr:from>
    <xdr:to>
      <xdr:col>6</xdr:col>
      <xdr:colOff>20682</xdr:colOff>
      <xdr:row>45</xdr:row>
      <xdr:rowOff>53884</xdr:rowOff>
    </xdr:to>
    <xdr:sp macro="" textlink="">
      <xdr:nvSpPr>
        <xdr:cNvPr id="14" name="Rectangle 11">
          <a:extLst>
            <a:ext uri="{FF2B5EF4-FFF2-40B4-BE49-F238E27FC236}">
              <a16:creationId xmlns:a16="http://schemas.microsoft.com/office/drawing/2014/main" id="{00000000-0008-0000-0000-00000E000000}"/>
            </a:ext>
          </a:extLst>
        </xdr:cNvPr>
        <xdr:cNvSpPr/>
      </xdr:nvSpPr>
      <xdr:spPr>
        <a:xfrm>
          <a:off x="265883" y="6051913"/>
          <a:ext cx="4849313" cy="2329542"/>
        </a:xfrm>
        <a:prstGeom prst="rect">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fr-FR" sz="1400" b="1">
              <a:solidFill>
                <a:schemeClr val="tx1">
                  <a:lumMod val="90000"/>
                  <a:lumOff val="10000"/>
                </a:schemeClr>
              </a:solidFill>
            </a:rPr>
            <a:t>Onglet "Résultats"</a:t>
          </a:r>
        </a:p>
      </xdr:txBody>
    </xdr:sp>
    <xdr:clientData/>
  </xdr:twoCellAnchor>
  <xdr:twoCellAnchor>
    <xdr:from>
      <xdr:col>0</xdr:col>
      <xdr:colOff>456383</xdr:colOff>
      <xdr:row>34</xdr:row>
      <xdr:rowOff>90079</xdr:rowOff>
    </xdr:from>
    <xdr:to>
      <xdr:col>5</xdr:col>
      <xdr:colOff>606877</xdr:colOff>
      <xdr:row>44</xdr:row>
      <xdr:rowOff>51979</xdr:rowOff>
    </xdr:to>
    <xdr:sp macro="" textlink="">
      <xdr:nvSpPr>
        <xdr:cNvPr id="13" name="Rectangle : coins arrondis 12">
          <a:extLst>
            <a:ext uri="{FF2B5EF4-FFF2-40B4-BE49-F238E27FC236}">
              <a16:creationId xmlns:a16="http://schemas.microsoft.com/office/drawing/2014/main" id="{00000000-0008-0000-0000-00000D000000}"/>
            </a:ext>
          </a:extLst>
        </xdr:cNvPr>
        <xdr:cNvSpPr/>
      </xdr:nvSpPr>
      <xdr:spPr>
        <a:xfrm>
          <a:off x="456383" y="6382022"/>
          <a:ext cx="4395923" cy="1812471"/>
        </a:xfrm>
        <a:prstGeom prst="roundRect">
          <a:avLst>
            <a:gd name="adj" fmla="val 6654"/>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aseline="0">
              <a:solidFill>
                <a:schemeClr val="tx1">
                  <a:lumMod val="90000"/>
                  <a:lumOff val="10000"/>
                </a:schemeClr>
              </a:solidFill>
            </a:rPr>
            <a:t>Présentation de nos estimations des effectifs cibles de médecins séniors nécessaires au bon fonctionnement de votre service de cardiologie. Il est le résultat du croisement entre les données prédéfinies du Référentiel et des Caractéristiques de votre service que vous aurez remplies en amont. </a:t>
          </a:r>
        </a:p>
        <a:p>
          <a:pPr algn="l"/>
          <a:endParaRPr lang="fr-FR" sz="1100" baseline="0">
            <a:solidFill>
              <a:schemeClr val="tx1">
                <a:lumMod val="90000"/>
                <a:lumOff val="10000"/>
              </a:schemeClr>
            </a:solidFill>
          </a:endParaRPr>
        </a:p>
        <a:p>
          <a:pPr algn="l"/>
          <a:r>
            <a:rPr lang="fr-FR" sz="1100" b="1" baseline="0">
              <a:solidFill>
                <a:srgbClr val="FF0000"/>
              </a:solidFill>
            </a:rPr>
            <a:t>NB : L'onglet est non modifiable </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26669</xdr:colOff>
      <xdr:row>0</xdr:row>
      <xdr:rowOff>38100</xdr:rowOff>
    </xdr:from>
    <xdr:to>
      <xdr:col>0</xdr:col>
      <xdr:colOff>1731856</xdr:colOff>
      <xdr:row>2</xdr:row>
      <xdr:rowOff>208010</xdr:rowOff>
    </xdr:to>
    <xdr:pic>
      <xdr:nvPicPr>
        <xdr:cNvPr id="3" name="Picture 2" descr="C.N.C.H. : Collège National des Cardiologues des Hôpitaux">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69" y="38100"/>
          <a:ext cx="1708997" cy="639387"/>
        </a:xfrm>
        <a:prstGeom prst="roundRect">
          <a:avLst>
            <a:gd name="adj" fmla="val 3842"/>
          </a:avLst>
        </a:prstGeom>
        <a:solidFill>
          <a:sysClr val="window" lastClr="FFFFFF"/>
        </a:solidFill>
      </xdr:spPr>
    </xdr:pic>
    <xdr:clientData/>
  </xdr:twoCellAnchor>
  <xdr:twoCellAnchor editAs="oneCell">
    <xdr:from>
      <xdr:col>0</xdr:col>
      <xdr:colOff>135498</xdr:colOff>
      <xdr:row>24</xdr:row>
      <xdr:rowOff>133350</xdr:rowOff>
    </xdr:from>
    <xdr:to>
      <xdr:col>0</xdr:col>
      <xdr:colOff>2531559</xdr:colOff>
      <xdr:row>32</xdr:row>
      <xdr:rowOff>968</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a:stretch>
          <a:fillRect/>
        </a:stretch>
      </xdr:blipFill>
      <xdr:spPr>
        <a:xfrm>
          <a:off x="135498" y="6667500"/>
          <a:ext cx="2390346" cy="13439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0</xdr:col>
      <xdr:colOff>1693358</xdr:colOff>
      <xdr:row>2</xdr:row>
      <xdr:rowOff>321675</xdr:rowOff>
    </xdr:to>
    <xdr:pic>
      <xdr:nvPicPr>
        <xdr:cNvPr id="2" name="Picture 2" descr="C.N.C.H. : Collège National des Cardiologues des Hôpitaux">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5468" y="57150"/>
          <a:ext cx="1631763" cy="606444"/>
        </a:xfrm>
        <a:prstGeom prst="roundRect">
          <a:avLst>
            <a:gd name="adj" fmla="val 3842"/>
          </a:avLst>
        </a:prstGeom>
        <a:solidFill>
          <a:sysClr val="window" lastClr="FFFFFF"/>
        </a:solidFill>
      </xdr:spPr>
    </xdr:pic>
    <xdr:clientData/>
  </xdr:twoCellAnchor>
  <xdr:twoCellAnchor>
    <xdr:from>
      <xdr:col>2</xdr:col>
      <xdr:colOff>3032171</xdr:colOff>
      <xdr:row>21</xdr:row>
      <xdr:rowOff>220421</xdr:rowOff>
    </xdr:from>
    <xdr:to>
      <xdr:col>3</xdr:col>
      <xdr:colOff>249872</xdr:colOff>
      <xdr:row>24</xdr:row>
      <xdr:rowOff>189275</xdr:rowOff>
    </xdr:to>
    <xdr:sp macro="" textlink="">
      <xdr:nvSpPr>
        <xdr:cNvPr id="3" name="Accolade fermante 2">
          <a:extLst>
            <a:ext uri="{FF2B5EF4-FFF2-40B4-BE49-F238E27FC236}">
              <a16:creationId xmlns:a16="http://schemas.microsoft.com/office/drawing/2014/main" id="{00000000-0008-0000-0200-000003000000}"/>
            </a:ext>
          </a:extLst>
        </xdr:cNvPr>
        <xdr:cNvSpPr/>
      </xdr:nvSpPr>
      <xdr:spPr>
        <a:xfrm>
          <a:off x="14788742" y="6819885"/>
          <a:ext cx="252094" cy="744461"/>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fr-FR" sz="1100"/>
        </a:p>
      </xdr:txBody>
    </xdr:sp>
    <xdr:clientData/>
  </xdr:twoCellAnchor>
  <xdr:twoCellAnchor>
    <xdr:from>
      <xdr:col>2</xdr:col>
      <xdr:colOff>64696</xdr:colOff>
      <xdr:row>29</xdr:row>
      <xdr:rowOff>8825</xdr:rowOff>
    </xdr:from>
    <xdr:to>
      <xdr:col>2</xdr:col>
      <xdr:colOff>1506682</xdr:colOff>
      <xdr:row>30</xdr:row>
      <xdr:rowOff>245466</xdr:rowOff>
    </xdr:to>
    <xdr:sp macro="" textlink="">
      <xdr:nvSpPr>
        <xdr:cNvPr id="4" name="Rectangle : coins arrondis 3">
          <a:extLst>
            <a:ext uri="{FF2B5EF4-FFF2-40B4-BE49-F238E27FC236}">
              <a16:creationId xmlns:a16="http://schemas.microsoft.com/office/drawing/2014/main" id="{861FDF67-D6F6-2830-B6E6-10428D86F9A6}"/>
            </a:ext>
          </a:extLst>
        </xdr:cNvPr>
        <xdr:cNvSpPr/>
      </xdr:nvSpPr>
      <xdr:spPr>
        <a:xfrm>
          <a:off x="12204741" y="8979643"/>
          <a:ext cx="1441986" cy="548368"/>
        </a:xfrm>
        <a:prstGeom prst="roundRect">
          <a:avLst/>
        </a:prstGeom>
        <a:solidFill>
          <a:schemeClr val="bg1"/>
        </a:solidFill>
        <a:ln>
          <a:solidFill>
            <a:schemeClr val="tx2">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400" b="0">
              <a:solidFill>
                <a:schemeClr val="tx2">
                  <a:lumMod val="75000"/>
                </a:schemeClr>
              </a:solidFill>
            </a:rPr>
            <a:t>Journées</a:t>
          </a:r>
        </a:p>
      </xdr:txBody>
    </xdr:sp>
    <xdr:clientData/>
  </xdr:twoCellAnchor>
  <xdr:twoCellAnchor>
    <xdr:from>
      <xdr:col>3</xdr:col>
      <xdr:colOff>258536</xdr:colOff>
      <xdr:row>21</xdr:row>
      <xdr:rowOff>136072</xdr:rowOff>
    </xdr:from>
    <xdr:to>
      <xdr:col>4</xdr:col>
      <xdr:colOff>112033</xdr:colOff>
      <xdr:row>25</xdr:row>
      <xdr:rowOff>84819</xdr:rowOff>
    </xdr:to>
    <xdr:sp macro="" textlink="">
      <xdr:nvSpPr>
        <xdr:cNvPr id="9" name="Rectangle : coins arrondis 8">
          <a:extLst>
            <a:ext uri="{FF2B5EF4-FFF2-40B4-BE49-F238E27FC236}">
              <a16:creationId xmlns:a16="http://schemas.microsoft.com/office/drawing/2014/main" id="{DD3F620C-A4D5-41CB-A6B3-36DE34D0398A}"/>
            </a:ext>
          </a:extLst>
        </xdr:cNvPr>
        <xdr:cNvSpPr/>
      </xdr:nvSpPr>
      <xdr:spPr>
        <a:xfrm>
          <a:off x="15076715" y="7157358"/>
          <a:ext cx="3010354" cy="942068"/>
        </a:xfrm>
        <a:prstGeom prst="roundRect">
          <a:avLst/>
        </a:prstGeom>
        <a:solidFill>
          <a:schemeClr val="bg1"/>
        </a:solidFill>
        <a:ln>
          <a:solidFill>
            <a:schemeClr val="tx2">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400" b="0">
              <a:solidFill>
                <a:schemeClr val="tx2">
                  <a:lumMod val="75000"/>
                </a:schemeClr>
              </a:solidFill>
            </a:rPr>
            <a:t>=</a:t>
          </a:r>
          <a:r>
            <a:rPr lang="fr-FR" sz="1400" b="0" baseline="0">
              <a:solidFill>
                <a:schemeClr val="tx2">
                  <a:lumMod val="75000"/>
                </a:schemeClr>
              </a:solidFill>
            </a:rPr>
            <a:t> la somme doit être égale à 52 semaines. Dans le cas inverse, la case apparait en rouge. </a:t>
          </a:r>
          <a:endParaRPr lang="fr-FR" sz="1400" b="0">
            <a:solidFill>
              <a:schemeClr val="tx2">
                <a:lumMod val="75000"/>
              </a:schemeClr>
            </a:solidFill>
          </a:endParaRPr>
        </a:p>
      </xdr:txBody>
    </xdr:sp>
    <xdr:clientData/>
  </xdr:twoCellAnchor>
  <xdr:twoCellAnchor editAs="oneCell">
    <xdr:from>
      <xdr:col>0</xdr:col>
      <xdr:colOff>9074537</xdr:colOff>
      <xdr:row>25</xdr:row>
      <xdr:rowOff>101600</xdr:rowOff>
    </xdr:from>
    <xdr:to>
      <xdr:col>1</xdr:col>
      <xdr:colOff>209683</xdr:colOff>
      <xdr:row>27</xdr:row>
      <xdr:rowOff>135798</xdr:rowOff>
    </xdr:to>
    <xdr:pic>
      <xdr:nvPicPr>
        <xdr:cNvPr id="15" name="Graphique 14" descr="Badge 4 avec un remplissage uni">
          <a:extLst>
            <a:ext uri="{FF2B5EF4-FFF2-40B4-BE49-F238E27FC236}">
              <a16:creationId xmlns:a16="http://schemas.microsoft.com/office/drawing/2014/main" id="{D0D1CB3A-488D-C98D-4C0C-9928B4C8404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074537" y="8116207"/>
          <a:ext cx="422475" cy="424996"/>
        </a:xfrm>
        <a:prstGeom prst="rect">
          <a:avLst/>
        </a:prstGeom>
      </xdr:spPr>
    </xdr:pic>
    <xdr:clientData/>
  </xdr:twoCellAnchor>
  <xdr:twoCellAnchor editAs="oneCell">
    <xdr:from>
      <xdr:col>0</xdr:col>
      <xdr:colOff>9069774</xdr:colOff>
      <xdr:row>21</xdr:row>
      <xdr:rowOff>3495</xdr:rowOff>
    </xdr:from>
    <xdr:to>
      <xdr:col>1</xdr:col>
      <xdr:colOff>211905</xdr:colOff>
      <xdr:row>22</xdr:row>
      <xdr:rowOff>169747</xdr:rowOff>
    </xdr:to>
    <xdr:pic>
      <xdr:nvPicPr>
        <xdr:cNvPr id="17" name="Graphique 16" descr="Badge 3 avec un remplissage uni">
          <a:extLst>
            <a:ext uri="{FF2B5EF4-FFF2-40B4-BE49-F238E27FC236}">
              <a16:creationId xmlns:a16="http://schemas.microsoft.com/office/drawing/2014/main" id="{C7C6C60C-DFB8-DCA5-135A-59FD6D778FF3}"/>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9069774" y="7024781"/>
          <a:ext cx="432000" cy="434311"/>
        </a:xfrm>
        <a:prstGeom prst="rect">
          <a:avLst/>
        </a:prstGeom>
      </xdr:spPr>
    </xdr:pic>
    <xdr:clientData/>
  </xdr:twoCellAnchor>
  <xdr:twoCellAnchor editAs="oneCell">
    <xdr:from>
      <xdr:col>0</xdr:col>
      <xdr:colOff>9072949</xdr:colOff>
      <xdr:row>7</xdr:row>
      <xdr:rowOff>126282</xdr:rowOff>
    </xdr:from>
    <xdr:to>
      <xdr:col>1</xdr:col>
      <xdr:colOff>211270</xdr:colOff>
      <xdr:row>8</xdr:row>
      <xdr:rowOff>247582</xdr:rowOff>
    </xdr:to>
    <xdr:pic>
      <xdr:nvPicPr>
        <xdr:cNvPr id="19" name="Graphique 18" descr="Badge avec un remplissage uni">
          <a:extLst>
            <a:ext uri="{FF2B5EF4-FFF2-40B4-BE49-F238E27FC236}">
              <a16:creationId xmlns:a16="http://schemas.microsoft.com/office/drawing/2014/main" id="{5733E00C-5BBD-7AE5-3118-75F3426E4F4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9072949" y="2412282"/>
          <a:ext cx="425650" cy="433357"/>
        </a:xfrm>
        <a:prstGeom prst="rect">
          <a:avLst/>
        </a:prstGeom>
      </xdr:spPr>
    </xdr:pic>
    <xdr:clientData/>
  </xdr:twoCellAnchor>
  <xdr:twoCellAnchor editAs="oneCell">
    <xdr:from>
      <xdr:col>0</xdr:col>
      <xdr:colOff>6185411</xdr:colOff>
      <xdr:row>5</xdr:row>
      <xdr:rowOff>264035</xdr:rowOff>
    </xdr:from>
    <xdr:to>
      <xdr:col>0</xdr:col>
      <xdr:colOff>6645986</xdr:colOff>
      <xdr:row>7</xdr:row>
      <xdr:rowOff>96131</xdr:rowOff>
    </xdr:to>
    <xdr:pic>
      <xdr:nvPicPr>
        <xdr:cNvPr id="21" name="Graphique 20" descr="Badge 1 avec un remplissage uni">
          <a:extLst>
            <a:ext uri="{FF2B5EF4-FFF2-40B4-BE49-F238E27FC236}">
              <a16:creationId xmlns:a16="http://schemas.microsoft.com/office/drawing/2014/main" id="{967C7FA8-F0D9-5682-3EF4-0CD1CE532A69}"/>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6185411" y="1930910"/>
          <a:ext cx="454860" cy="4277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78276</xdr:colOff>
      <xdr:row>0</xdr:row>
      <xdr:rowOff>87976</xdr:rowOff>
    </xdr:from>
    <xdr:to>
      <xdr:col>1</xdr:col>
      <xdr:colOff>1736320</xdr:colOff>
      <xdr:row>2</xdr:row>
      <xdr:rowOff>477386</xdr:rowOff>
    </xdr:to>
    <xdr:pic>
      <xdr:nvPicPr>
        <xdr:cNvPr id="3" name="Picture 2" descr="C.N.C.H. : Collège National des Cardiologues des Hôpitaux">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276" y="87976"/>
          <a:ext cx="1978661" cy="731329"/>
        </a:xfrm>
        <a:prstGeom prst="roundRect">
          <a:avLst>
            <a:gd name="adj" fmla="val 3842"/>
          </a:avLst>
        </a:prstGeom>
        <a:solidFill>
          <a:sysClr val="window" lastClr="FFFFFF"/>
        </a:solidFill>
      </xdr:spPr>
    </xdr:pic>
    <xdr:clientData/>
  </xdr:twoCellAnchor>
  <xdr:twoCellAnchor>
    <xdr:from>
      <xdr:col>14</xdr:col>
      <xdr:colOff>141173</xdr:colOff>
      <xdr:row>24</xdr:row>
      <xdr:rowOff>136072</xdr:rowOff>
    </xdr:from>
    <xdr:to>
      <xdr:col>14</xdr:col>
      <xdr:colOff>357980</xdr:colOff>
      <xdr:row>27</xdr:row>
      <xdr:rowOff>0</xdr:rowOff>
    </xdr:to>
    <xdr:sp macro="" textlink="">
      <xdr:nvSpPr>
        <xdr:cNvPr id="5" name="Triangle isocèle 4">
          <a:extLst>
            <a:ext uri="{FF2B5EF4-FFF2-40B4-BE49-F238E27FC236}">
              <a16:creationId xmlns:a16="http://schemas.microsoft.com/office/drawing/2014/main" id="{72AF6891-2C38-4655-B082-EDFBBBB7A035}"/>
            </a:ext>
          </a:extLst>
        </xdr:cNvPr>
        <xdr:cNvSpPr/>
      </xdr:nvSpPr>
      <xdr:spPr>
        <a:xfrm rot="5400000">
          <a:off x="15712394" y="8198758"/>
          <a:ext cx="1149803" cy="216807"/>
        </a:xfrm>
        <a:prstGeom prst="triangle">
          <a:avLst/>
        </a:prstGeom>
        <a:solidFill>
          <a:schemeClr val="bg1">
            <a:lumMod val="85000"/>
          </a:schemeClr>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15</xdr:col>
      <xdr:colOff>447097</xdr:colOff>
      <xdr:row>24</xdr:row>
      <xdr:rowOff>9525</xdr:rowOff>
    </xdr:from>
    <xdr:to>
      <xdr:col>15</xdr:col>
      <xdr:colOff>863623</xdr:colOff>
      <xdr:row>25</xdr:row>
      <xdr:rowOff>66600</xdr:rowOff>
    </xdr:to>
    <xdr:pic>
      <xdr:nvPicPr>
        <xdr:cNvPr id="7" name="Graphique 6" descr="Mille avec un remplissage uni">
          <a:extLst>
            <a:ext uri="{FF2B5EF4-FFF2-40B4-BE49-F238E27FC236}">
              <a16:creationId xmlns:a16="http://schemas.microsoft.com/office/drawing/2014/main" id="{1F91528E-44D3-4A3C-9665-71892762F59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999324" y="7421707"/>
          <a:ext cx="464363" cy="4524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197031</xdr:colOff>
      <xdr:row>0</xdr:row>
      <xdr:rowOff>40821</xdr:rowOff>
    </xdr:from>
    <xdr:to>
      <xdr:col>1</xdr:col>
      <xdr:colOff>1810204</xdr:colOff>
      <xdr:row>2</xdr:row>
      <xdr:rowOff>429596</xdr:rowOff>
    </xdr:to>
    <xdr:pic>
      <xdr:nvPicPr>
        <xdr:cNvPr id="3" name="Picture 2" descr="C.N.C.H. : Collège National des Cardiologues des Hôpitaux">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7031" y="40821"/>
          <a:ext cx="1980566" cy="745736"/>
        </a:xfrm>
        <a:prstGeom prst="roundRect">
          <a:avLst>
            <a:gd name="adj" fmla="val 3842"/>
          </a:avLst>
        </a:prstGeom>
        <a:solidFill>
          <a:sysClr val="window" lastClr="FFFFFF"/>
        </a:solidFill>
      </xdr:spPr>
    </xdr:pic>
    <xdr:clientData/>
  </xdr:twoCellAnchor>
  <xdr:twoCellAnchor>
    <xdr:from>
      <xdr:col>14</xdr:col>
      <xdr:colOff>163287</xdr:colOff>
      <xdr:row>24</xdr:row>
      <xdr:rowOff>125640</xdr:rowOff>
    </xdr:from>
    <xdr:to>
      <xdr:col>14</xdr:col>
      <xdr:colOff>370569</xdr:colOff>
      <xdr:row>27</xdr:row>
      <xdr:rowOff>0</xdr:rowOff>
    </xdr:to>
    <xdr:sp macro="" textlink="">
      <xdr:nvSpPr>
        <xdr:cNvPr id="4" name="Triangle isocèle 3">
          <a:extLst>
            <a:ext uri="{FF2B5EF4-FFF2-40B4-BE49-F238E27FC236}">
              <a16:creationId xmlns:a16="http://schemas.microsoft.com/office/drawing/2014/main" id="{04D90E9A-81EF-EDF9-B64B-C204DD8ED9A0}"/>
            </a:ext>
          </a:extLst>
        </xdr:cNvPr>
        <xdr:cNvSpPr/>
      </xdr:nvSpPr>
      <xdr:spPr>
        <a:xfrm rot="5400000">
          <a:off x="18369643" y="7663998"/>
          <a:ext cx="1023711" cy="207282"/>
        </a:xfrm>
        <a:prstGeom prst="triangle">
          <a:avLst/>
        </a:prstGeom>
        <a:solidFill>
          <a:schemeClr val="bg1">
            <a:lumMod val="85000"/>
          </a:schemeClr>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15</xdr:col>
      <xdr:colOff>494435</xdr:colOff>
      <xdr:row>23</xdr:row>
      <xdr:rowOff>273215</xdr:rowOff>
    </xdr:from>
    <xdr:to>
      <xdr:col>16</xdr:col>
      <xdr:colOff>158987</xdr:colOff>
      <xdr:row>25</xdr:row>
      <xdr:rowOff>48779</xdr:rowOff>
    </xdr:to>
    <xdr:pic>
      <xdr:nvPicPr>
        <xdr:cNvPr id="7" name="Graphique 6" descr="Mille avec un remplissage uni">
          <a:extLst>
            <a:ext uri="{FF2B5EF4-FFF2-40B4-BE49-F238E27FC236}">
              <a16:creationId xmlns:a16="http://schemas.microsoft.com/office/drawing/2014/main" id="{A37A215E-DDC3-454D-A9AE-43B7881B6BD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908117" y="7494897"/>
          <a:ext cx="464363" cy="46511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B94F788-D659-48A3-BC3C-D6BD38FCE828}" name="base_usic" displayName="base_usic" ref="B3:K10" totalsRowShown="0" headerRowDxfId="41" dataDxfId="40">
  <autoFilter ref="B3:K10" xr:uid="{EB94F788-D659-48A3-BC3C-D6BD38FCE828}"/>
  <tableColumns count="10">
    <tableColumn id="1" xr3:uid="{15DC6857-9CEC-4122-967A-12688771DDAC}" name="Cas"/>
    <tableColumn id="2" xr3:uid="{3FA8751E-ED09-445A-BDB6-193EB0E059D4}" name="Nombre de lits d'USIC" dataDxfId="39"/>
    <tableColumn id="4" xr3:uid="{724747C1-1A5C-4454-B387-6F142BFB1082}" name="Semaine _x000a_Nombre de demi-journées postées par semaine en médecins seniors" dataDxfId="38"/>
    <tableColumn id="3" xr3:uid="{E4FEC9E2-6F50-4FCA-A8FF-20BC499F9E2D}" name="Semaine (avec 1 interne)" dataDxfId="37"/>
    <tableColumn id="10" xr3:uid="{992AD6E0-F492-4703-8F11-90E856ABA688}" name="Semaine (avec 2 internes)" dataDxfId="36"/>
    <tableColumn id="9" xr3:uid="{7E12B9CB-25D2-41FC-8CB6-4B63455669C8}" name="Semaine (avec 3 internes)" dataDxfId="35"/>
    <tableColumn id="7" xr3:uid="{7D868FB2-3631-492A-B0AF-1EDF13AB04B6}" name="Semaine (avec 4 internes)" dataDxfId="34"/>
    <tableColumn id="6" xr3:uid="{E57039B3-AE00-4DF8-974C-CF0397C830C0}" name="Semaine (avec 5 internes)" dataDxfId="33"/>
    <tableColumn id="5" xr3:uid="{8878E5C7-1AE1-46D3-B8E1-3F37FB0B92F0}" name="Gardes (semaine)_x000a_Nombre de demi-journées postées par semaine en médecins seniors" dataDxfId="32"/>
    <tableColumn id="8" xr3:uid="{9D87F454-9AA0-467D-92C0-FB2ED39299A3}" name="Week-end_x000a_Nombre de demi-journées postées par we en médecins seniors" dataDxfId="31"/>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182DBA-4C2D-4E50-BA18-7D1687183F71}" name="base_HC" displayName="base_HC" ref="M3:AE104" totalsRowShown="0" headerRowDxfId="30">
  <autoFilter ref="M3:AE104" xr:uid="{8D182DBA-4C2D-4E50-BA18-7D1687183F71}"/>
  <tableColumns count="19">
    <tableColumn id="1" xr3:uid="{D84F0D81-CD9F-4904-967F-778F3A10A12D}" name="Nombre de lits d'HC"/>
    <tableColumn id="4" xr3:uid="{1E438ABF-BC3C-4AAC-AA30-5BED4AA84C82}" name="Semaine _x000a_Nombre de demi-journées postées par semaine en médecins seniors" dataDxfId="29"/>
    <tableColumn id="2" xr3:uid="{60F23DD8-1909-40C4-B9D0-85D77A90CBDF}" name="Semaine (avec 1 internes)" dataDxfId="28"/>
    <tableColumn id="3" xr3:uid="{E4244506-0703-4174-9844-42D3B9D14530}" name="Semaine (avec 2 internes)" dataDxfId="27"/>
    <tableColumn id="6" xr3:uid="{77BB9C1B-B155-49E6-B3E1-0F62245DFB6E}" name="Semaine (avec 3 internes)" dataDxfId="26"/>
    <tableColumn id="7" xr3:uid="{B346ECBB-B93E-42E5-80F0-FF5F095C60F0}" name="Semaine (avec 4 internes)" dataDxfId="25"/>
    <tableColumn id="9" xr3:uid="{37D44AB3-46AC-4C6F-981C-9B16E963C40F}" name="Semaine (avec 5 internes)" dataDxfId="24"/>
    <tableColumn id="10" xr3:uid="{E26F18E0-5646-4C92-8F4F-558B0E3E5AF7}" name="Semaine (avec 6 internes)" dataDxfId="23"/>
    <tableColumn id="11" xr3:uid="{36A282D9-7C2C-434C-BB13-146C79D96376}" name="Semaine (avec 7 internes)" dataDxfId="22"/>
    <tableColumn id="12" xr3:uid="{7D945D3A-B624-4F5D-827C-5B183887B6A6}" name="Semaine (avec 8 internes)" dataDxfId="21"/>
    <tableColumn id="13" xr3:uid="{13E19561-1472-4D10-8D55-D74914F4E9AA}" name="Semaine (avec 9 internes)" dataDxfId="20"/>
    <tableColumn id="14" xr3:uid="{519C6917-3B83-4C5A-87F9-BCF46C77B83F}" name="Semaine (avec 10 internes)" dataDxfId="19"/>
    <tableColumn id="15" xr3:uid="{57BCFCD2-5AAA-4018-ADDF-6C0AD3F44131}" name="Semaine (avec 11 internes)" dataDxfId="18"/>
    <tableColumn id="16" xr3:uid="{51706556-261D-4538-8DAB-1B1820BECC14}" name="Semaine (avec 12 internes)" dataDxfId="17"/>
    <tableColumn id="17" xr3:uid="{E17A275B-BD16-4E38-AA70-32546BD9387C}" name="Semaine (avec 13 internes)" dataDxfId="16"/>
    <tableColumn id="18" xr3:uid="{CC1F4C47-A680-496E-B38B-1F750679D6D9}" name="Semaine (avec 14 internes)" dataDxfId="15"/>
    <tableColumn id="19" xr3:uid="{5891AE64-5C16-43FB-B338-6BD2E5EF410F}" name="Semaine (avec 15 internes)" dataDxfId="14"/>
    <tableColumn id="5" xr3:uid="{798DA3AE-6478-4095-ACE5-B25962B9BD68}" name="Gardes (semaine)_x000a_Nombre de demi-journées postées par semaine en médecins seniors" dataDxfId="13"/>
    <tableColumn id="8" xr3:uid="{C3EE4EA1-5347-45C3-9914-7A1F3542748D}" name="Week-end_x000a_Nombre de demi-journées postées par we en médecins seniors" dataDxfId="1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C6A53D-42C4-43DE-A6DD-84B556CD3098}" name="base_HDJ" displayName="base_HDJ" ref="AJ3:AL103" totalsRowShown="0" headerRowDxfId="11">
  <autoFilter ref="AJ3:AL103" xr:uid="{6EC6A53D-42C4-43DE-A6DD-84B556CD3098}"/>
  <tableColumns count="3">
    <tableColumn id="1" xr3:uid="{81D608FE-C9E0-444F-A519-183D2E4CD407}" name="Nombre de places d'HDJ"/>
    <tableColumn id="4" xr3:uid="{4813A959-8813-4118-AE7D-FEF2D534391C}" name="Semaine _x000a_Nombre de demi-journées postées par semaine en médecins seniors" dataDxfId="10">
      <calculatedColumnFormula>((base_HDJ[[#This Row],[Nombre de places d''HDJ]]*Référentiel!$C$14)*5/Référentiel!$C$15)</calculatedColumnFormula>
    </tableColumn>
    <tableColumn id="2" xr3:uid="{1FB9A91B-887F-4BF6-A1FD-845537F9B029}" name="Nb de demi-journées si présences d'internes" dataDxfId="9">
      <calculatedColumnFormula>base_HDJ[[#This Row],[Semaine 
Nombre de demi-journées postées par semaine en médecins seniors]]-5</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1F25F8A-307D-40F8-928C-B542E5663782}" name="base_HDS" displayName="base_HDS" ref="AN3:AP103" totalsRowShown="0" headerRowDxfId="8">
  <autoFilter ref="AN3:AP103" xr:uid="{81F25F8A-307D-40F8-928C-B542E5663782}"/>
  <tableColumns count="3">
    <tableColumn id="1" xr3:uid="{AE8CD566-C1C4-404C-87E6-411A2760909F}" name="Nombre de lits d'HDS"/>
    <tableColumn id="4" xr3:uid="{EEDC6679-E593-4688-B350-4FA9814057BB}" name="Semaine _x000a_Nombre de demi-journées postées par semaine en médecins seniors" dataDxfId="7"/>
    <tableColumn id="2" xr3:uid="{22A3B89E-ECD3-4F36-9ABA-E6E358ADF4D5}" name="Nb de demi-journées si présences d'internes" dataDxfId="6">
      <calculatedColumnFormula>base_HDS[[#This Row],[Semaine 
Nombre de demi-journées postées par semaine en médecins seniors]]-5</calculatedColumnFormula>
    </tableColumn>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37852B8-BA30-4FC9-8231-AD9B778D9171}" name="Tableau4" displayName="Tableau4" ref="AR3:AS104" totalsRowShown="0">
  <autoFilter ref="AR3:AS104" xr:uid="{B37852B8-BA30-4FC9-8231-AD9B778D9171}"/>
  <tableColumns count="2">
    <tableColumn id="1" xr3:uid="{4AEE89FE-28F6-42C4-9832-A43942CC7136}" name="Nombre de consultations internes  "/>
    <tableColumn id="2" xr3:uid="{9A507EA7-1CA2-4FC7-AF21-A4AAB3899C16}" name="Nombre de demi journées postées par semaine en médecins séniors" dataDxfId="5">
      <calculatedColumnFormula>ROUNDUP(Tableau4[[#This Row],[Nombre de consultations internes  ]]/30,0)</calculatedColumn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79FE481-524E-4A98-B487-4FAADC23AC04}" name="base_HDJ7" displayName="base_HDJ7" ref="AG3:AH103" totalsRowShown="0" headerRowDxfId="4">
  <autoFilter ref="AG3:AH103" xr:uid="{479FE481-524E-4A98-B487-4FAADC23AC04}"/>
  <tableColumns count="2">
    <tableColumn id="1" xr3:uid="{ADD6E20E-EA2C-4707-91CE-DF687E15B754}" name="Nombre de lits d'USC"/>
    <tableColumn id="4" xr3:uid="{611098C1-029B-4E37-B08B-938EA7CCA9A0}" name="Semaine _x000a_Nombre de demi-journées postées par semaine en médecins seniors" dataDxfId="3">
      <calculatedColumnFormula>((base_HDJ7[[#This Row],[Nombre de lits d''USC]]*Référentiel!$C$14)*5/Référentiel!$C$15)</calculatedColumnFormula>
    </tableColumn>
  </tableColumns>
  <tableStyleInfo name="TableStyleLight1" showFirstColumn="0" showLastColumn="0" showRowStripes="1" showColumnStripes="0"/>
</table>
</file>

<file path=xl/theme/theme1.xml><?xml version="1.0" encoding="utf-8"?>
<a:theme xmlns:a="http://schemas.openxmlformats.org/drawingml/2006/main" name="Norska 3">
  <a:themeElements>
    <a:clrScheme name="Palette Norska">
      <a:dk1>
        <a:srgbClr val="191919"/>
      </a:dk1>
      <a:lt1>
        <a:srgbClr val="FFFFFF"/>
      </a:lt1>
      <a:dk2>
        <a:srgbClr val="3F6267"/>
      </a:dk2>
      <a:lt2>
        <a:srgbClr val="36B6B0"/>
      </a:lt2>
      <a:accent1>
        <a:srgbClr val="B3D7AF"/>
      </a:accent1>
      <a:accent2>
        <a:srgbClr val="EE7155"/>
      </a:accent2>
      <a:accent3>
        <a:srgbClr val="F5A362"/>
      </a:accent3>
      <a:accent4>
        <a:srgbClr val="FDC95A"/>
      </a:accent4>
      <a:accent5>
        <a:srgbClr val="FBD6D8"/>
      </a:accent5>
      <a:accent6>
        <a:srgbClr val="A583B4"/>
      </a:accent6>
      <a:hlink>
        <a:srgbClr val="8C8C8C"/>
      </a:hlink>
      <a:folHlink>
        <a:srgbClr val="BFBFBF"/>
      </a:folHlink>
    </a:clrScheme>
    <a:fontScheme name="Police Norska">
      <a:majorFont>
        <a:latin typeface="Quire Sans"/>
        <a:ea typeface=""/>
        <a:cs typeface=""/>
      </a:majorFont>
      <a:minorFont>
        <a:latin typeface="Quire Sans Pro Light"/>
        <a:ea typeface=""/>
        <a:cs typeface=""/>
      </a:minorFont>
    </a:fontScheme>
    <a:fmtScheme name="Thème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Norska 3" id="{BF128530-D805-4DDF-8FD0-9C7117FDD56A}" vid="{CD9C80D6-02AC-42F1-AD60-FECF7D15BD9F}"/>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693C0-5473-4184-A0C0-96DC08A51ADA}">
  <sheetPr>
    <tabColor theme="8"/>
  </sheetPr>
  <dimension ref="A1:O47"/>
  <sheetViews>
    <sheetView zoomScale="57" zoomScaleNormal="57" workbookViewId="0">
      <selection activeCell="P5" sqref="P5"/>
    </sheetView>
  </sheetViews>
  <sheetFormatPr baseColWidth="10" defaultColWidth="11.1640625" defaultRowHeight="14.5" x14ac:dyDescent="0.35"/>
  <cols>
    <col min="1" max="16384" width="11.1640625" style="1"/>
  </cols>
  <sheetData>
    <row r="1" spans="1:15" x14ac:dyDescent="0.35">
      <c r="A1" s="2"/>
      <c r="B1" s="2"/>
      <c r="C1" s="2"/>
      <c r="D1" s="2"/>
      <c r="E1" s="2"/>
      <c r="F1" s="2"/>
      <c r="G1" s="2"/>
      <c r="H1" s="2"/>
      <c r="I1" s="2"/>
      <c r="J1" s="2"/>
      <c r="K1" s="2"/>
      <c r="L1" s="2"/>
      <c r="M1" s="2"/>
      <c r="N1" s="2"/>
      <c r="O1" s="2"/>
    </row>
    <row r="2" spans="1:15" x14ac:dyDescent="0.35">
      <c r="A2" s="2"/>
      <c r="B2" s="2"/>
      <c r="C2" s="2"/>
      <c r="D2" s="2"/>
      <c r="E2" s="2"/>
      <c r="F2" s="2"/>
      <c r="G2" s="2"/>
      <c r="H2" s="2"/>
      <c r="I2" s="2"/>
      <c r="J2" s="2"/>
      <c r="K2" s="2"/>
      <c r="L2" s="2"/>
      <c r="M2" s="2"/>
      <c r="N2" s="2"/>
      <c r="O2" s="2"/>
    </row>
    <row r="3" spans="1:15" x14ac:dyDescent="0.35">
      <c r="A3" s="2"/>
      <c r="B3" s="2"/>
      <c r="C3" s="2"/>
      <c r="D3" s="2"/>
      <c r="E3" s="2"/>
      <c r="F3" s="2"/>
      <c r="G3" s="2"/>
      <c r="H3" s="2"/>
      <c r="I3" s="2"/>
      <c r="J3" s="2"/>
      <c r="K3" s="2"/>
      <c r="L3" s="2"/>
      <c r="M3" s="2"/>
      <c r="N3" s="2"/>
      <c r="O3" s="2"/>
    </row>
    <row r="4" spans="1:15" x14ac:dyDescent="0.35">
      <c r="A4" s="2"/>
      <c r="B4" s="2"/>
      <c r="C4" s="2"/>
      <c r="D4" s="2"/>
      <c r="E4" s="2"/>
      <c r="F4" s="2"/>
      <c r="G4" s="2"/>
      <c r="H4" s="2"/>
      <c r="I4" s="2"/>
      <c r="J4" s="2"/>
      <c r="K4" s="2"/>
      <c r="L4" s="2"/>
      <c r="M4" s="2"/>
      <c r="N4" s="2"/>
      <c r="O4" s="2"/>
    </row>
    <row r="5" spans="1:15" x14ac:dyDescent="0.35">
      <c r="A5" s="2"/>
      <c r="B5" s="2"/>
      <c r="C5" s="2"/>
      <c r="D5" s="2"/>
      <c r="E5" s="2"/>
      <c r="F5" s="2"/>
      <c r="G5" s="2"/>
      <c r="H5" s="2"/>
      <c r="I5" s="2"/>
      <c r="J5" s="2"/>
      <c r="K5" s="2"/>
      <c r="L5" s="2"/>
      <c r="M5" s="2"/>
      <c r="N5" s="2"/>
      <c r="O5" s="2"/>
    </row>
    <row r="6" spans="1:15" x14ac:dyDescent="0.35">
      <c r="A6" s="2"/>
      <c r="B6" s="2"/>
      <c r="C6" s="2"/>
      <c r="D6" s="2"/>
      <c r="E6" s="2"/>
      <c r="F6" s="2"/>
      <c r="G6" s="2"/>
      <c r="H6" s="2"/>
      <c r="I6" s="2"/>
      <c r="J6" s="2"/>
      <c r="K6" s="2"/>
      <c r="L6" s="2"/>
      <c r="M6" s="2"/>
      <c r="N6" s="2"/>
      <c r="O6" s="2"/>
    </row>
    <row r="7" spans="1:15" x14ac:dyDescent="0.35">
      <c r="A7" s="2"/>
      <c r="B7" s="2"/>
      <c r="C7" s="2"/>
      <c r="D7" s="2"/>
      <c r="E7" s="2"/>
      <c r="F7" s="2"/>
      <c r="G7" s="2"/>
      <c r="H7" s="2"/>
      <c r="I7" s="2"/>
      <c r="J7" s="2"/>
      <c r="K7" s="2"/>
      <c r="L7" s="2"/>
      <c r="M7" s="2"/>
      <c r="N7" s="2"/>
      <c r="O7" s="2"/>
    </row>
    <row r="8" spans="1:15" x14ac:dyDescent="0.35">
      <c r="A8" s="2"/>
      <c r="B8" s="2"/>
      <c r="C8" s="2"/>
      <c r="D8" s="2"/>
      <c r="E8" s="2"/>
      <c r="F8" s="2"/>
      <c r="G8" s="2"/>
      <c r="H8" s="2"/>
      <c r="I8" s="2"/>
      <c r="J8" s="2"/>
      <c r="K8" s="2"/>
      <c r="L8" s="2"/>
      <c r="M8" s="2"/>
      <c r="N8" s="2"/>
      <c r="O8" s="2"/>
    </row>
    <row r="9" spans="1:15" x14ac:dyDescent="0.35">
      <c r="A9" s="2"/>
      <c r="B9" s="2"/>
      <c r="C9" s="2"/>
      <c r="D9" s="2"/>
      <c r="E9" s="2"/>
      <c r="F9" s="2"/>
      <c r="G9" s="2"/>
      <c r="H9" s="2"/>
      <c r="I9" s="2"/>
      <c r="J9" s="2"/>
      <c r="K9" s="2"/>
      <c r="L9" s="2"/>
      <c r="M9" s="2"/>
      <c r="N9" s="2"/>
      <c r="O9" s="2"/>
    </row>
    <row r="10" spans="1:15" x14ac:dyDescent="0.35">
      <c r="A10" s="2"/>
      <c r="B10" s="2"/>
      <c r="C10" s="2"/>
      <c r="D10" s="2"/>
      <c r="E10" s="2"/>
      <c r="F10" s="2"/>
      <c r="G10" s="2"/>
      <c r="H10" s="2"/>
      <c r="I10" s="2"/>
      <c r="J10" s="2"/>
      <c r="K10" s="2"/>
      <c r="L10" s="2"/>
      <c r="M10" s="2"/>
      <c r="N10" s="2"/>
      <c r="O10" s="2"/>
    </row>
    <row r="11" spans="1:15" x14ac:dyDescent="0.35">
      <c r="A11" s="2"/>
      <c r="B11" s="2"/>
      <c r="C11" s="2"/>
      <c r="D11" s="2"/>
      <c r="E11" s="2"/>
      <c r="F11" s="2"/>
      <c r="G11" s="2"/>
      <c r="H11" s="2"/>
      <c r="I11" s="2"/>
      <c r="J11" s="2"/>
      <c r="K11" s="2"/>
      <c r="L11" s="2"/>
      <c r="M11" s="2"/>
      <c r="N11" s="2"/>
      <c r="O11" s="2"/>
    </row>
    <row r="12" spans="1:15" x14ac:dyDescent="0.35">
      <c r="A12" s="2"/>
      <c r="B12" s="2"/>
      <c r="C12" s="2"/>
      <c r="D12" s="2"/>
      <c r="E12" s="2"/>
      <c r="F12" s="2"/>
      <c r="G12" s="2"/>
      <c r="H12" s="2"/>
      <c r="I12" s="2"/>
      <c r="J12" s="2"/>
      <c r="K12" s="2"/>
      <c r="L12" s="2"/>
      <c r="M12" s="2"/>
      <c r="N12" s="2"/>
      <c r="O12" s="2"/>
    </row>
    <row r="13" spans="1:15" x14ac:dyDescent="0.35">
      <c r="A13" s="2"/>
      <c r="B13" s="2"/>
      <c r="C13" s="2"/>
      <c r="D13" s="2"/>
      <c r="E13" s="2"/>
      <c r="F13" s="2"/>
      <c r="G13" s="2"/>
      <c r="H13" s="2"/>
      <c r="I13" s="2"/>
      <c r="J13" s="2"/>
      <c r="K13" s="2"/>
      <c r="L13" s="2"/>
      <c r="M13" s="2"/>
      <c r="N13" s="2"/>
      <c r="O13" s="2"/>
    </row>
    <row r="14" spans="1:15" x14ac:dyDescent="0.35">
      <c r="A14" s="2"/>
      <c r="B14" s="2"/>
      <c r="C14" s="2"/>
      <c r="D14" s="2"/>
      <c r="E14" s="2"/>
      <c r="F14" s="2"/>
      <c r="G14" s="2"/>
      <c r="H14" s="2"/>
      <c r="I14" s="2"/>
      <c r="J14" s="2"/>
      <c r="K14" s="2"/>
      <c r="L14" s="2"/>
      <c r="M14" s="2"/>
      <c r="N14" s="2"/>
      <c r="O14" s="2"/>
    </row>
    <row r="15" spans="1:15" x14ac:dyDescent="0.35">
      <c r="A15" s="2"/>
      <c r="B15" s="2"/>
      <c r="C15" s="2"/>
      <c r="D15" s="2"/>
      <c r="E15" s="2"/>
      <c r="F15" s="2"/>
      <c r="G15" s="2"/>
      <c r="H15" s="2"/>
      <c r="I15" s="2"/>
      <c r="J15" s="2"/>
      <c r="K15" s="2"/>
      <c r="L15" s="2"/>
      <c r="M15" s="2"/>
      <c r="N15" s="2"/>
      <c r="O15" s="2"/>
    </row>
    <row r="16" spans="1:15" x14ac:dyDescent="0.35">
      <c r="A16" s="2"/>
      <c r="B16" s="2"/>
      <c r="C16" s="2"/>
      <c r="D16" s="2"/>
      <c r="E16" s="2"/>
      <c r="F16" s="2"/>
      <c r="G16" s="2"/>
      <c r="H16" s="2"/>
      <c r="I16" s="2"/>
      <c r="J16" s="2"/>
      <c r="K16" s="2"/>
      <c r="L16" s="2"/>
      <c r="M16" s="2"/>
      <c r="N16" s="2"/>
      <c r="O16" s="2"/>
    </row>
    <row r="17" spans="1:15" x14ac:dyDescent="0.35">
      <c r="A17" s="2"/>
      <c r="B17" s="2"/>
      <c r="C17" s="2"/>
      <c r="D17" s="2"/>
      <c r="E17" s="2"/>
      <c r="F17" s="2"/>
      <c r="G17" s="2"/>
      <c r="H17" s="2"/>
      <c r="I17" s="2"/>
      <c r="J17" s="2"/>
      <c r="K17" s="2"/>
      <c r="L17" s="2"/>
      <c r="M17" s="2"/>
      <c r="N17" s="2"/>
      <c r="O17" s="2"/>
    </row>
    <row r="18" spans="1:15" x14ac:dyDescent="0.35">
      <c r="A18" s="2"/>
      <c r="B18" s="2"/>
      <c r="C18" s="2"/>
      <c r="D18" s="2"/>
      <c r="E18" s="2"/>
      <c r="F18" s="2"/>
      <c r="G18" s="2"/>
      <c r="H18" s="2"/>
      <c r="I18" s="2"/>
      <c r="J18" s="2"/>
      <c r="K18" s="2"/>
      <c r="L18" s="2"/>
      <c r="M18" s="2"/>
      <c r="N18" s="2"/>
      <c r="O18" s="2"/>
    </row>
    <row r="19" spans="1:15" x14ac:dyDescent="0.35">
      <c r="A19" s="2"/>
      <c r="B19" s="2"/>
      <c r="C19" s="2"/>
      <c r="D19" s="2"/>
      <c r="E19" s="2"/>
      <c r="F19" s="2"/>
      <c r="G19" s="2"/>
      <c r="H19" s="2"/>
      <c r="I19" s="2"/>
      <c r="J19" s="2"/>
      <c r="K19" s="2"/>
      <c r="L19" s="2"/>
      <c r="M19" s="2"/>
      <c r="N19" s="2"/>
      <c r="O19" s="2"/>
    </row>
    <row r="20" spans="1:15" x14ac:dyDescent="0.35">
      <c r="A20" s="2"/>
      <c r="B20" s="2"/>
      <c r="C20" s="2"/>
      <c r="D20" s="2"/>
      <c r="E20" s="2"/>
      <c r="F20" s="2"/>
      <c r="G20" s="2"/>
      <c r="H20" s="2"/>
      <c r="I20" s="2"/>
      <c r="J20" s="2"/>
      <c r="K20" s="2"/>
      <c r="L20" s="2"/>
      <c r="M20" s="2"/>
      <c r="N20" s="2"/>
      <c r="O20" s="2"/>
    </row>
    <row r="21" spans="1:15" x14ac:dyDescent="0.35">
      <c r="A21" s="2"/>
      <c r="B21" s="2"/>
      <c r="C21" s="2"/>
      <c r="D21" s="2"/>
      <c r="E21" s="2"/>
      <c r="F21" s="2"/>
      <c r="G21" s="2"/>
      <c r="H21" s="2"/>
      <c r="I21" s="2"/>
      <c r="J21" s="2"/>
      <c r="K21" s="2"/>
      <c r="L21" s="2"/>
      <c r="M21" s="2"/>
      <c r="N21" s="2"/>
      <c r="O21" s="2"/>
    </row>
    <row r="22" spans="1:15" x14ac:dyDescent="0.35">
      <c r="A22" s="2"/>
      <c r="B22" s="2"/>
      <c r="C22" s="2"/>
      <c r="D22" s="2"/>
      <c r="E22" s="2"/>
      <c r="F22" s="2"/>
      <c r="G22" s="2"/>
      <c r="H22" s="2"/>
      <c r="I22" s="2"/>
      <c r="J22" s="2"/>
      <c r="K22" s="2"/>
      <c r="L22" s="2"/>
      <c r="M22" s="2"/>
      <c r="N22" s="2"/>
      <c r="O22" s="2"/>
    </row>
    <row r="23" spans="1:15" x14ac:dyDescent="0.35">
      <c r="A23" s="2"/>
      <c r="B23" s="2"/>
      <c r="C23" s="2"/>
      <c r="D23" s="2"/>
      <c r="E23" s="2"/>
      <c r="F23" s="2"/>
      <c r="G23" s="2"/>
      <c r="H23" s="2"/>
      <c r="I23" s="2"/>
      <c r="J23" s="2"/>
      <c r="K23" s="2"/>
      <c r="L23" s="2"/>
      <c r="M23" s="2"/>
      <c r="N23" s="2"/>
      <c r="O23" s="2"/>
    </row>
    <row r="24" spans="1:15" x14ac:dyDescent="0.35">
      <c r="A24" s="2"/>
      <c r="B24" s="2"/>
      <c r="C24" s="2"/>
      <c r="D24" s="2"/>
      <c r="E24" s="2"/>
      <c r="F24" s="2"/>
      <c r="G24" s="2"/>
      <c r="H24" s="2"/>
      <c r="I24" s="2"/>
      <c r="J24" s="2"/>
      <c r="K24" s="2"/>
      <c r="L24" s="2"/>
      <c r="M24" s="2"/>
      <c r="N24" s="2"/>
      <c r="O24" s="2"/>
    </row>
    <row r="25" spans="1:15" x14ac:dyDescent="0.35">
      <c r="A25" s="2"/>
      <c r="B25" s="2"/>
      <c r="C25" s="2"/>
      <c r="D25" s="2"/>
      <c r="E25" s="2"/>
      <c r="F25" s="2"/>
      <c r="G25" s="2"/>
      <c r="H25" s="2"/>
      <c r="I25" s="2"/>
      <c r="J25" s="2"/>
      <c r="K25" s="2"/>
      <c r="L25" s="2"/>
      <c r="M25" s="2"/>
      <c r="N25" s="2"/>
      <c r="O25" s="2"/>
    </row>
    <row r="26" spans="1:15" x14ac:dyDescent="0.35">
      <c r="A26" s="2"/>
      <c r="B26" s="2"/>
      <c r="C26" s="2"/>
      <c r="D26" s="2"/>
      <c r="E26" s="2"/>
      <c r="F26" s="2"/>
      <c r="G26" s="2"/>
      <c r="H26" s="2"/>
      <c r="I26" s="2"/>
      <c r="J26" s="2"/>
      <c r="K26" s="2"/>
      <c r="L26" s="2"/>
      <c r="M26" s="2"/>
      <c r="N26" s="2"/>
      <c r="O26" s="2"/>
    </row>
    <row r="27" spans="1:15" x14ac:dyDescent="0.35">
      <c r="A27" s="2"/>
      <c r="B27" s="2"/>
      <c r="C27" s="2"/>
      <c r="D27" s="2"/>
      <c r="E27" s="2"/>
      <c r="F27" s="2"/>
      <c r="G27" s="2"/>
      <c r="H27" s="2"/>
      <c r="I27" s="2"/>
      <c r="J27" s="2"/>
      <c r="K27" s="2"/>
      <c r="L27" s="2"/>
      <c r="M27" s="2"/>
      <c r="N27" s="2"/>
      <c r="O27" s="2"/>
    </row>
    <row r="28" spans="1:15" x14ac:dyDescent="0.35">
      <c r="A28" s="2"/>
      <c r="B28" s="2"/>
      <c r="C28" s="2"/>
      <c r="D28" s="2"/>
      <c r="E28" s="2"/>
      <c r="F28" s="2"/>
      <c r="G28" s="2"/>
      <c r="H28" s="2"/>
      <c r="I28" s="2"/>
      <c r="J28" s="2"/>
      <c r="K28" s="2"/>
      <c r="L28" s="2"/>
      <c r="M28" s="2"/>
      <c r="N28" s="2"/>
      <c r="O28" s="2"/>
    </row>
    <row r="29" spans="1:15" x14ac:dyDescent="0.35">
      <c r="A29" s="2"/>
      <c r="B29" s="2"/>
      <c r="C29" s="2"/>
      <c r="D29" s="2"/>
      <c r="E29" s="2"/>
      <c r="F29" s="2"/>
      <c r="G29" s="2"/>
      <c r="H29" s="2"/>
      <c r="I29" s="2"/>
      <c r="J29" s="2"/>
      <c r="K29" s="2"/>
      <c r="L29" s="2"/>
      <c r="M29" s="2"/>
      <c r="N29" s="2"/>
      <c r="O29" s="2"/>
    </row>
    <row r="30" spans="1:15" x14ac:dyDescent="0.35">
      <c r="A30" s="2"/>
      <c r="B30" s="2"/>
      <c r="C30" s="2"/>
      <c r="D30" s="2"/>
      <c r="E30" s="2"/>
      <c r="F30" s="2"/>
      <c r="G30" s="2"/>
      <c r="H30" s="2"/>
      <c r="I30" s="2"/>
      <c r="J30" s="2"/>
      <c r="K30" s="2"/>
      <c r="L30" s="2"/>
      <c r="M30" s="2"/>
      <c r="N30" s="2"/>
      <c r="O30" s="2"/>
    </row>
    <row r="31" spans="1:15" x14ac:dyDescent="0.35">
      <c r="A31" s="2"/>
      <c r="B31" s="2"/>
      <c r="C31" s="2"/>
      <c r="D31" s="2"/>
      <c r="E31" s="2"/>
      <c r="F31" s="2"/>
      <c r="G31" s="2"/>
      <c r="H31" s="2"/>
      <c r="I31" s="2"/>
      <c r="J31" s="2"/>
      <c r="K31" s="2"/>
      <c r="L31" s="2"/>
      <c r="M31" s="2"/>
      <c r="N31" s="2"/>
      <c r="O31" s="2"/>
    </row>
    <row r="32" spans="1:15" x14ac:dyDescent="0.35">
      <c r="A32" s="2"/>
      <c r="B32" s="2"/>
      <c r="C32" s="2"/>
      <c r="D32" s="2"/>
      <c r="E32" s="2"/>
      <c r="F32" s="2"/>
      <c r="G32" s="2"/>
      <c r="H32" s="2"/>
      <c r="I32" s="2"/>
      <c r="J32" s="2"/>
      <c r="K32" s="2"/>
      <c r="L32" s="2"/>
      <c r="M32" s="2"/>
      <c r="N32" s="2"/>
      <c r="O32" s="2"/>
    </row>
    <row r="33" spans="1:15" x14ac:dyDescent="0.35">
      <c r="A33" s="2"/>
      <c r="B33" s="2"/>
      <c r="C33" s="2"/>
      <c r="D33" s="2"/>
      <c r="E33" s="2"/>
      <c r="F33" s="2"/>
      <c r="G33" s="2"/>
      <c r="H33" s="2"/>
      <c r="I33" s="2"/>
      <c r="J33" s="2"/>
      <c r="K33" s="2"/>
      <c r="L33" s="2"/>
      <c r="M33" s="2"/>
      <c r="N33" s="2"/>
      <c r="O33" s="2"/>
    </row>
    <row r="34" spans="1:15" ht="15" thickBot="1" x14ac:dyDescent="0.4">
      <c r="A34" s="2"/>
      <c r="B34" s="2"/>
      <c r="C34" s="2"/>
      <c r="D34" s="2"/>
      <c r="E34" s="2"/>
      <c r="F34" s="2"/>
      <c r="G34" s="2"/>
      <c r="H34" s="2"/>
      <c r="I34" s="2"/>
      <c r="J34" s="2"/>
      <c r="K34" s="2"/>
      <c r="L34" s="2"/>
      <c r="M34" s="2"/>
      <c r="N34" s="2"/>
      <c r="O34" s="2"/>
    </row>
    <row r="35" spans="1:15" ht="18.5" thickBot="1" x14ac:dyDescent="0.45">
      <c r="A35" s="2"/>
      <c r="B35" s="2"/>
      <c r="C35" s="2"/>
      <c r="D35" s="2"/>
      <c r="E35" s="2"/>
      <c r="F35" s="2"/>
      <c r="G35" s="2"/>
      <c r="H35" s="2"/>
      <c r="I35" s="35"/>
      <c r="J35" s="34" t="str">
        <f>"= Seules les cases de cette couleur sont à compléter"</f>
        <v>= Seules les cases de cette couleur sont à compléter</v>
      </c>
      <c r="K35" s="2"/>
      <c r="L35" s="2"/>
      <c r="M35" s="2"/>
      <c r="N35" s="2"/>
      <c r="O35" s="2"/>
    </row>
    <row r="36" spans="1:15" x14ac:dyDescent="0.35">
      <c r="A36" s="2"/>
      <c r="B36" s="2"/>
      <c r="C36" s="2"/>
      <c r="D36" s="2"/>
      <c r="E36" s="2"/>
      <c r="F36" s="2"/>
      <c r="G36" s="2"/>
      <c r="H36" s="2"/>
      <c r="I36" s="2"/>
      <c r="J36" s="2"/>
      <c r="K36" s="2"/>
      <c r="L36" s="2"/>
      <c r="M36" s="2"/>
      <c r="N36" s="2"/>
      <c r="O36" s="2"/>
    </row>
    <row r="37" spans="1:15" x14ac:dyDescent="0.35">
      <c r="A37" s="2"/>
      <c r="B37" s="2"/>
      <c r="C37" s="2"/>
      <c r="D37" s="2"/>
      <c r="E37" s="2"/>
      <c r="F37" s="2"/>
      <c r="G37" s="2"/>
      <c r="H37" s="2"/>
      <c r="I37" s="2"/>
      <c r="J37" s="2"/>
      <c r="K37" s="2"/>
      <c r="L37" s="2"/>
      <c r="M37" s="2"/>
      <c r="N37" s="2"/>
      <c r="O37" s="2"/>
    </row>
    <row r="38" spans="1:15" x14ac:dyDescent="0.35">
      <c r="A38" s="2"/>
      <c r="B38" s="2"/>
      <c r="C38" s="2"/>
      <c r="D38" s="2"/>
      <c r="E38" s="2"/>
      <c r="F38" s="2"/>
      <c r="G38" s="2"/>
      <c r="H38" s="2"/>
      <c r="I38" s="2"/>
      <c r="J38" s="2"/>
      <c r="K38" s="2"/>
      <c r="L38" s="2"/>
      <c r="M38" s="2"/>
      <c r="N38" s="2"/>
      <c r="O38" s="2"/>
    </row>
    <row r="39" spans="1:15" x14ac:dyDescent="0.35">
      <c r="A39" s="2"/>
      <c r="B39" s="2"/>
      <c r="C39" s="2"/>
      <c r="D39" s="2"/>
      <c r="E39" s="2"/>
      <c r="F39" s="2"/>
      <c r="G39" s="2"/>
      <c r="H39" s="2"/>
      <c r="I39" s="2"/>
      <c r="J39" s="2"/>
      <c r="K39" s="2"/>
      <c r="L39" s="2"/>
      <c r="M39" s="2"/>
      <c r="N39" s="2"/>
      <c r="O39" s="2"/>
    </row>
    <row r="40" spans="1:15" x14ac:dyDescent="0.35">
      <c r="A40" s="2"/>
      <c r="B40" s="2"/>
      <c r="C40" s="2"/>
      <c r="D40" s="2"/>
      <c r="E40" s="2"/>
      <c r="F40" s="2"/>
      <c r="G40" s="2"/>
      <c r="H40" s="2"/>
      <c r="I40" s="2"/>
      <c r="J40" s="2"/>
      <c r="K40" s="2"/>
      <c r="L40" s="2"/>
      <c r="M40" s="2"/>
      <c r="N40" s="2"/>
      <c r="O40" s="2"/>
    </row>
    <row r="41" spans="1:15" x14ac:dyDescent="0.35">
      <c r="A41" s="2"/>
      <c r="B41" s="2"/>
      <c r="C41" s="2"/>
      <c r="D41" s="2"/>
      <c r="E41" s="2"/>
      <c r="F41" s="2"/>
      <c r="G41" s="2"/>
      <c r="H41" s="2"/>
      <c r="I41" s="2"/>
      <c r="J41" s="2"/>
      <c r="K41" s="2"/>
      <c r="L41" s="2"/>
      <c r="M41" s="2"/>
      <c r="N41" s="2"/>
      <c r="O41" s="2"/>
    </row>
    <row r="42" spans="1:15" x14ac:dyDescent="0.35">
      <c r="A42" s="2"/>
      <c r="B42" s="2"/>
      <c r="C42" s="2"/>
      <c r="D42" s="2"/>
      <c r="E42" s="2"/>
      <c r="F42" s="2"/>
      <c r="G42" s="2"/>
      <c r="H42" s="2"/>
      <c r="I42" s="2"/>
      <c r="J42" s="2"/>
      <c r="K42" s="2"/>
      <c r="L42" s="2"/>
      <c r="M42" s="2"/>
      <c r="N42" s="2"/>
      <c r="O42" s="2"/>
    </row>
    <row r="43" spans="1:15" x14ac:dyDescent="0.35">
      <c r="A43" s="2"/>
      <c r="B43" s="2"/>
      <c r="C43" s="2"/>
      <c r="D43" s="2"/>
      <c r="E43" s="2"/>
      <c r="F43" s="2"/>
      <c r="G43" s="2"/>
      <c r="H43" s="2"/>
      <c r="I43" s="2"/>
      <c r="J43" s="2"/>
      <c r="K43" s="2"/>
      <c r="L43" s="2"/>
      <c r="M43" s="2"/>
      <c r="N43" s="2"/>
      <c r="O43" s="2"/>
    </row>
    <row r="44" spans="1:15" x14ac:dyDescent="0.35">
      <c r="A44" s="2"/>
      <c r="B44" s="2"/>
      <c r="C44" s="2"/>
      <c r="D44" s="2"/>
      <c r="E44" s="2"/>
      <c r="F44" s="2"/>
      <c r="G44" s="2"/>
      <c r="H44" s="2"/>
      <c r="I44" s="2"/>
      <c r="J44" s="2"/>
      <c r="K44" s="2"/>
      <c r="L44" s="2"/>
      <c r="M44" s="2"/>
      <c r="N44" s="2"/>
      <c r="O44" s="2"/>
    </row>
    <row r="45" spans="1:15" x14ac:dyDescent="0.35">
      <c r="A45" s="2"/>
      <c r="B45" s="2"/>
      <c r="C45" s="2"/>
      <c r="D45" s="2"/>
      <c r="E45" s="2"/>
      <c r="F45" s="2"/>
      <c r="G45" s="2"/>
      <c r="H45" s="2"/>
      <c r="I45" s="2"/>
      <c r="J45" s="2"/>
      <c r="K45" s="2"/>
      <c r="L45" s="2"/>
      <c r="M45" s="2"/>
      <c r="N45" s="2"/>
      <c r="O45" s="2"/>
    </row>
    <row r="46" spans="1:15" x14ac:dyDescent="0.35">
      <c r="A46" s="2"/>
      <c r="B46" s="2"/>
      <c r="C46" s="2"/>
      <c r="D46" s="2"/>
      <c r="E46" s="2"/>
      <c r="F46" s="2"/>
      <c r="G46" s="2"/>
      <c r="H46" s="2"/>
      <c r="I46" s="2"/>
      <c r="J46" s="2"/>
      <c r="K46" s="2"/>
      <c r="L46" s="2"/>
      <c r="M46" s="2"/>
      <c r="N46" s="2"/>
      <c r="O46" s="2"/>
    </row>
    <row r="47" spans="1:15" x14ac:dyDescent="0.35">
      <c r="A47" s="2"/>
      <c r="B47" s="2"/>
      <c r="C47" s="2"/>
      <c r="D47" s="2"/>
      <c r="E47" s="2"/>
      <c r="F47" s="2"/>
      <c r="G47" s="2"/>
      <c r="H47" s="2"/>
      <c r="I47" s="2"/>
      <c r="J47" s="2"/>
      <c r="K47" s="2"/>
      <c r="L47" s="2"/>
      <c r="M47" s="2"/>
      <c r="N47" s="2"/>
      <c r="O47" s="2"/>
    </row>
  </sheetData>
  <sheetProtection algorithmName="SHA-512" hashValue="z3/wH2V2XG8C1k6hG8zST/gombiy1hF2NB0u8/evImABAaawigSn9s0wss/AdXDGIO1DMXYMOt5mOCVfApqYZA==" saltValue="FAV4NFkdGoh79dmS0OuFPg==" spinCount="100000"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5BE94-ABA6-4C88-A9C2-FB16B019B086}">
  <sheetPr>
    <tabColor theme="6" tint="0.79998168889431442"/>
  </sheetPr>
  <dimension ref="A1:E33"/>
  <sheetViews>
    <sheetView topLeftCell="A4" workbookViewId="0">
      <selection activeCell="B8" sqref="B8"/>
    </sheetView>
  </sheetViews>
  <sheetFormatPr baseColWidth="10" defaultColWidth="11.1640625" defaultRowHeight="14.5" x14ac:dyDescent="0.35"/>
  <cols>
    <col min="1" max="1" width="34.1640625" style="1" bestFit="1" customWidth="1"/>
    <col min="2" max="2" width="81.1640625" style="1" customWidth="1"/>
    <col min="3" max="3" width="11.1640625" style="1"/>
    <col min="4" max="4" width="13.58203125" style="1" customWidth="1"/>
    <col min="5" max="5" width="20" style="1" customWidth="1"/>
    <col min="6" max="16384" width="11.1640625" style="1"/>
  </cols>
  <sheetData>
    <row r="1" spans="1:4" ht="18" customHeight="1" x14ac:dyDescent="0.35">
      <c r="A1" s="174" t="s">
        <v>0</v>
      </c>
      <c r="B1" s="175"/>
      <c r="C1" s="175"/>
      <c r="D1" s="176"/>
    </row>
    <row r="2" spans="1:4" ht="18" customHeight="1" x14ac:dyDescent="0.35">
      <c r="A2" s="177"/>
      <c r="B2" s="178"/>
      <c r="C2" s="178"/>
      <c r="D2" s="179"/>
    </row>
    <row r="3" spans="1:4" ht="18" customHeight="1" x14ac:dyDescent="0.35">
      <c r="A3" s="177"/>
      <c r="B3" s="178"/>
      <c r="C3" s="178"/>
      <c r="D3" s="179"/>
    </row>
    <row r="4" spans="1:4" ht="23.5" thickBot="1" x14ac:dyDescent="0.4">
      <c r="A4" s="10"/>
      <c r="B4" s="11"/>
      <c r="C4" s="11"/>
      <c r="D4" s="12"/>
    </row>
    <row r="5" spans="1:4" ht="23.5" thickBot="1" x14ac:dyDescent="0.4">
      <c r="A5" s="180" t="s">
        <v>1</v>
      </c>
      <c r="B5" s="181"/>
      <c r="C5" s="181"/>
      <c r="D5" s="182"/>
    </row>
    <row r="6" spans="1:4" ht="23" x14ac:dyDescent="0.35">
      <c r="A6" s="21"/>
      <c r="B6" s="11"/>
      <c r="C6" s="11"/>
      <c r="D6" s="12"/>
    </row>
    <row r="7" spans="1:4" ht="23" x14ac:dyDescent="0.35">
      <c r="A7" s="10"/>
      <c r="B7" s="11"/>
      <c r="C7" s="11"/>
      <c r="D7" s="12"/>
    </row>
    <row r="8" spans="1:4" ht="27" customHeight="1" x14ac:dyDescent="0.35">
      <c r="A8" s="13"/>
      <c r="B8" s="5" t="s">
        <v>2</v>
      </c>
      <c r="C8" s="6" t="s">
        <v>3</v>
      </c>
      <c r="D8" s="7" t="s">
        <v>4</v>
      </c>
    </row>
    <row r="9" spans="1:4" ht="18" customHeight="1" x14ac:dyDescent="0.35">
      <c r="A9" s="37" t="s">
        <v>5</v>
      </c>
      <c r="B9" s="9" t="s">
        <v>6</v>
      </c>
      <c r="C9" s="8">
        <v>14</v>
      </c>
      <c r="D9" s="4" t="s">
        <v>7</v>
      </c>
    </row>
    <row r="10" spans="1:4" ht="18" customHeight="1" x14ac:dyDescent="0.35">
      <c r="A10" s="183" t="s">
        <v>8</v>
      </c>
      <c r="B10" s="9" t="s">
        <v>9</v>
      </c>
      <c r="C10" s="8">
        <v>1</v>
      </c>
      <c r="D10" s="4" t="s">
        <v>7</v>
      </c>
    </row>
    <row r="11" spans="1:4" ht="18" customHeight="1" x14ac:dyDescent="0.35">
      <c r="A11" s="184"/>
      <c r="B11" s="9" t="s">
        <v>10</v>
      </c>
      <c r="C11" s="8">
        <v>1</v>
      </c>
      <c r="D11" s="4" t="s">
        <v>7</v>
      </c>
    </row>
    <row r="12" spans="1:4" ht="18" customHeight="1" x14ac:dyDescent="0.35">
      <c r="A12" s="184"/>
      <c r="B12" s="9" t="s">
        <v>11</v>
      </c>
      <c r="C12" s="8">
        <v>2</v>
      </c>
      <c r="D12" s="4" t="s">
        <v>7</v>
      </c>
    </row>
    <row r="13" spans="1:4" ht="18" customHeight="1" x14ac:dyDescent="0.35">
      <c r="A13" s="184"/>
      <c r="B13" s="9" t="s">
        <v>12</v>
      </c>
      <c r="C13" s="25">
        <v>10</v>
      </c>
      <c r="D13" s="4" t="s">
        <v>13</v>
      </c>
    </row>
    <row r="14" spans="1:4" ht="18" customHeight="1" x14ac:dyDescent="0.35">
      <c r="A14" s="184"/>
      <c r="B14" s="9" t="s">
        <v>14</v>
      </c>
      <c r="C14" s="22">
        <v>1.25</v>
      </c>
      <c r="D14" s="4" t="s">
        <v>15</v>
      </c>
    </row>
    <row r="15" spans="1:4" ht="18" customHeight="1" x14ac:dyDescent="0.35">
      <c r="A15" s="184"/>
      <c r="B15" s="9" t="s">
        <v>16</v>
      </c>
      <c r="C15" s="25">
        <v>2</v>
      </c>
      <c r="D15" s="4" t="s">
        <v>17</v>
      </c>
    </row>
    <row r="16" spans="1:4" ht="18" customHeight="1" x14ac:dyDescent="0.35">
      <c r="A16" s="185"/>
      <c r="B16" s="9" t="s">
        <v>18</v>
      </c>
      <c r="C16" s="25">
        <v>5</v>
      </c>
      <c r="D16" s="4" t="s">
        <v>19</v>
      </c>
    </row>
    <row r="17" spans="1:5" ht="18" customHeight="1" x14ac:dyDescent="0.35">
      <c r="A17" s="186" t="s">
        <v>20</v>
      </c>
      <c r="B17" s="9" t="s">
        <v>21</v>
      </c>
      <c r="C17" s="8">
        <v>9</v>
      </c>
      <c r="D17" s="4" t="s">
        <v>22</v>
      </c>
    </row>
    <row r="18" spans="1:5" ht="18" customHeight="1" x14ac:dyDescent="0.35">
      <c r="A18" s="187"/>
      <c r="B18" s="9" t="s">
        <v>111</v>
      </c>
      <c r="C18" s="8">
        <v>104</v>
      </c>
      <c r="D18" s="4" t="s">
        <v>22</v>
      </c>
    </row>
    <row r="19" spans="1:5" ht="18" customHeight="1" x14ac:dyDescent="0.35">
      <c r="A19" s="187"/>
      <c r="B19" s="9" t="s">
        <v>23</v>
      </c>
      <c r="C19" s="8">
        <v>25</v>
      </c>
      <c r="D19" s="4" t="s">
        <v>22</v>
      </c>
    </row>
    <row r="20" spans="1:5" ht="18" customHeight="1" x14ac:dyDescent="0.35">
      <c r="A20" s="187"/>
      <c r="B20" s="9" t="s">
        <v>24</v>
      </c>
      <c r="C20" s="8">
        <v>1</v>
      </c>
      <c r="D20" s="4" t="s">
        <v>22</v>
      </c>
    </row>
    <row r="21" spans="1:5" ht="18" customHeight="1" x14ac:dyDescent="0.35">
      <c r="A21" s="171" t="s">
        <v>25</v>
      </c>
      <c r="B21" s="9" t="s">
        <v>110</v>
      </c>
      <c r="C21" s="36">
        <v>2.8000000000000001E-2</v>
      </c>
      <c r="D21" s="4" t="s">
        <v>26</v>
      </c>
      <c r="E21" s="15"/>
    </row>
    <row r="22" spans="1:5" ht="18" customHeight="1" x14ac:dyDescent="0.35">
      <c r="A22" s="171"/>
      <c r="B22" s="9" t="s">
        <v>27</v>
      </c>
      <c r="C22" s="23">
        <v>1</v>
      </c>
      <c r="D22" s="4" t="s">
        <v>7</v>
      </c>
    </row>
    <row r="23" spans="1:5" ht="17" customHeight="1" x14ac:dyDescent="0.35">
      <c r="A23" s="171"/>
      <c r="B23" s="9" t="s">
        <v>28</v>
      </c>
      <c r="C23" s="23">
        <v>2</v>
      </c>
      <c r="D23" s="4" t="s">
        <v>7</v>
      </c>
    </row>
    <row r="24" spans="1:5" ht="17" customHeight="1" x14ac:dyDescent="0.35"/>
    <row r="25" spans="1:5" ht="17" customHeight="1" x14ac:dyDescent="0.35">
      <c r="A25" s="2"/>
      <c r="B25" s="172" t="s">
        <v>109</v>
      </c>
      <c r="C25" s="173"/>
      <c r="D25" s="173"/>
    </row>
    <row r="26" spans="1:5" x14ac:dyDescent="0.35">
      <c r="A26" s="2"/>
      <c r="B26" s="173"/>
      <c r="C26" s="173"/>
      <c r="D26" s="173"/>
    </row>
    <row r="27" spans="1:5" x14ac:dyDescent="0.35">
      <c r="A27" s="2"/>
      <c r="B27" s="173"/>
      <c r="C27" s="173"/>
      <c r="D27" s="173"/>
    </row>
    <row r="28" spans="1:5" x14ac:dyDescent="0.35">
      <c r="A28" s="2"/>
      <c r="B28" s="173"/>
      <c r="C28" s="173"/>
      <c r="D28" s="173"/>
    </row>
    <row r="29" spans="1:5" x14ac:dyDescent="0.35">
      <c r="A29" s="2"/>
      <c r="B29" s="173"/>
      <c r="C29" s="173"/>
      <c r="D29" s="173"/>
    </row>
    <row r="30" spans="1:5" x14ac:dyDescent="0.35">
      <c r="A30" s="2"/>
      <c r="B30" s="173"/>
      <c r="C30" s="173"/>
      <c r="D30" s="173"/>
    </row>
    <row r="31" spans="1:5" x14ac:dyDescent="0.35">
      <c r="A31" s="2"/>
      <c r="B31" s="173"/>
      <c r="C31" s="173"/>
      <c r="D31" s="173"/>
    </row>
    <row r="32" spans="1:5" x14ac:dyDescent="0.35">
      <c r="A32" s="2"/>
      <c r="B32" s="173"/>
      <c r="C32" s="173"/>
      <c r="D32" s="173"/>
    </row>
    <row r="33" spans="1:4" x14ac:dyDescent="0.35">
      <c r="A33" s="2"/>
      <c r="B33" s="173"/>
      <c r="C33" s="173"/>
      <c r="D33" s="173"/>
    </row>
  </sheetData>
  <sheetProtection algorithmName="SHA-512" hashValue="wEwajUELJcv432YxoVOJJVWuyRHmBzUTGVzMh6WfCmFCaiT6JRBxIBgotNNXD1gunS4NtEfdWkf72lBjRmh9gw==" saltValue="AjKzWn1kb9i1qO7exc1H0w==" spinCount="100000" sheet="1" objects="1" scenarios="1"/>
  <mergeCells count="6">
    <mergeCell ref="A21:A23"/>
    <mergeCell ref="B25:D33"/>
    <mergeCell ref="A1:D3"/>
    <mergeCell ref="A5:D5"/>
    <mergeCell ref="A10:A16"/>
    <mergeCell ref="A17:A2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C40C4-79A3-462F-ADC8-778E4E7AC5AE}">
  <sheetPr codeName="Feuil1">
    <tabColor theme="9" tint="0.59999389629810485"/>
  </sheetPr>
  <dimension ref="A1:O32"/>
  <sheetViews>
    <sheetView tabSelected="1" topLeftCell="A10" zoomScale="88" zoomScaleNormal="88" workbookViewId="0">
      <selection activeCell="C14" sqref="C14"/>
    </sheetView>
  </sheetViews>
  <sheetFormatPr baseColWidth="10" defaultColWidth="11.1640625" defaultRowHeight="14.5" x14ac:dyDescent="0.35"/>
  <cols>
    <col min="1" max="1" width="121.6640625" style="1" bestFit="1" customWidth="1"/>
    <col min="2" max="2" width="32.1640625" style="1" customWidth="1"/>
    <col min="3" max="3" width="40.1640625" style="1" customWidth="1"/>
    <col min="4" max="4" width="41.5" style="1" customWidth="1"/>
    <col min="5" max="6" width="15.58203125" style="1" customWidth="1"/>
    <col min="7" max="11" width="3.58203125" style="1" customWidth="1"/>
    <col min="12" max="16" width="15.58203125" style="1" customWidth="1"/>
    <col min="17" max="17" width="4.6640625" style="1" customWidth="1"/>
    <col min="18" max="16384" width="11.1640625" style="1"/>
  </cols>
  <sheetData>
    <row r="1" spans="1:13" ht="14" customHeight="1" x14ac:dyDescent="0.35">
      <c r="A1" s="178"/>
      <c r="B1" s="178"/>
      <c r="C1" s="178"/>
      <c r="D1" s="179"/>
    </row>
    <row r="2" spans="1:13" ht="14" customHeight="1" x14ac:dyDescent="0.35">
      <c r="A2" s="178"/>
      <c r="B2" s="178"/>
      <c r="C2" s="178"/>
      <c r="D2" s="179"/>
    </row>
    <row r="3" spans="1:13" ht="28.25" customHeight="1" x14ac:dyDescent="0.35">
      <c r="A3" s="178"/>
      <c r="B3" s="178"/>
      <c r="C3" s="178"/>
      <c r="D3" s="179"/>
    </row>
    <row r="4" spans="1:13" ht="23.5" thickBot="1" x14ac:dyDescent="0.4">
      <c r="A4" s="11"/>
      <c r="B4" s="11"/>
      <c r="C4" s="11"/>
      <c r="D4" s="12"/>
    </row>
    <row r="5" spans="1:13" ht="53" customHeight="1" thickBot="1" x14ac:dyDescent="0.4">
      <c r="A5" s="190" t="s">
        <v>131</v>
      </c>
      <c r="B5" s="191"/>
      <c r="C5" s="191"/>
      <c r="D5" s="192"/>
    </row>
    <row r="6" spans="1:13" ht="23" x14ac:dyDescent="0.35">
      <c r="A6" s="11"/>
      <c r="B6" s="11"/>
      <c r="C6" s="11"/>
      <c r="D6" s="12"/>
    </row>
    <row r="7" spans="1:13" ht="23" x14ac:dyDescent="0.35">
      <c r="A7" s="156" t="s">
        <v>30</v>
      </c>
      <c r="B7" s="201"/>
      <c r="C7" s="202"/>
      <c r="D7" s="12"/>
    </row>
    <row r="8" spans="1:13" ht="23" x14ac:dyDescent="0.35">
      <c r="A8" s="11"/>
      <c r="B8" s="11"/>
      <c r="C8" s="11"/>
      <c r="D8" s="12"/>
    </row>
    <row r="9" spans="1:13" ht="22.25" customHeight="1" x14ac:dyDescent="0.35">
      <c r="A9" s="199" t="s">
        <v>107</v>
      </c>
      <c r="B9" s="193" t="s">
        <v>31</v>
      </c>
      <c r="C9" s="195" t="s">
        <v>32</v>
      </c>
      <c r="D9" s="197" t="s">
        <v>33</v>
      </c>
    </row>
    <row r="10" spans="1:13" ht="22.25" customHeight="1" x14ac:dyDescent="0.35">
      <c r="A10" s="200"/>
      <c r="B10" s="194"/>
      <c r="C10" s="196"/>
      <c r="D10" s="198"/>
    </row>
    <row r="11" spans="1:13" ht="23.75" customHeight="1" x14ac:dyDescent="0.35">
      <c r="A11" s="150" t="s">
        <v>112</v>
      </c>
      <c r="B11" s="157">
        <v>12</v>
      </c>
      <c r="C11" s="167">
        <v>12</v>
      </c>
      <c r="D11" s="168">
        <v>8</v>
      </c>
    </row>
    <row r="12" spans="1:13" ht="23.75" customHeight="1" x14ac:dyDescent="0.35">
      <c r="A12" s="151" t="s">
        <v>113</v>
      </c>
      <c r="B12" s="169">
        <v>30</v>
      </c>
      <c r="C12" s="169">
        <v>30</v>
      </c>
      <c r="D12" s="169">
        <v>20</v>
      </c>
    </row>
    <row r="13" spans="1:13" ht="23.75" customHeight="1" x14ac:dyDescent="0.35">
      <c r="A13" s="151" t="s">
        <v>114</v>
      </c>
      <c r="B13" s="169">
        <v>0</v>
      </c>
      <c r="C13" s="169">
        <v>0</v>
      </c>
      <c r="D13" s="169">
        <v>0</v>
      </c>
    </row>
    <row r="14" spans="1:13" ht="23.75" customHeight="1" x14ac:dyDescent="0.35">
      <c r="A14" s="151" t="s">
        <v>115</v>
      </c>
      <c r="B14" s="169">
        <v>10</v>
      </c>
      <c r="C14" s="169">
        <v>0</v>
      </c>
      <c r="D14" s="169">
        <v>0</v>
      </c>
    </row>
    <row r="15" spans="1:13" ht="23.75" customHeight="1" x14ac:dyDescent="0.35">
      <c r="A15" s="151" t="s">
        <v>116</v>
      </c>
      <c r="B15" s="169">
        <v>0</v>
      </c>
      <c r="C15" s="169">
        <v>0</v>
      </c>
      <c r="D15" s="169">
        <v>0</v>
      </c>
    </row>
    <row r="16" spans="1:13" ht="35.75" customHeight="1" x14ac:dyDescent="0.35">
      <c r="A16" s="155" t="s">
        <v>117</v>
      </c>
      <c r="B16" s="169">
        <v>4</v>
      </c>
      <c r="C16" s="169">
        <v>4</v>
      </c>
      <c r="D16" s="169">
        <v>4</v>
      </c>
      <c r="E16" s="153"/>
      <c r="J16" s="188"/>
      <c r="K16" s="188"/>
      <c r="L16" s="188"/>
      <c r="M16" s="188"/>
    </row>
    <row r="17" spans="1:15" ht="35.75" customHeight="1" x14ac:dyDescent="0.35">
      <c r="A17" s="155" t="s">
        <v>118</v>
      </c>
      <c r="B17" s="169">
        <v>44</v>
      </c>
      <c r="C17" s="169">
        <v>30</v>
      </c>
      <c r="D17" s="169">
        <v>20</v>
      </c>
      <c r="E17" s="154"/>
      <c r="J17" s="188"/>
      <c r="K17" s="188"/>
      <c r="L17" s="188"/>
      <c r="M17" s="188"/>
    </row>
    <row r="18" spans="1:15" ht="23.75" customHeight="1" x14ac:dyDescent="0.35">
      <c r="A18" s="151" t="s">
        <v>119</v>
      </c>
      <c r="B18" s="169">
        <v>10</v>
      </c>
      <c r="C18" s="169">
        <v>10</v>
      </c>
      <c r="D18" s="169">
        <v>10</v>
      </c>
      <c r="J18" s="188"/>
      <c r="K18" s="188"/>
      <c r="L18" s="188"/>
      <c r="M18" s="188"/>
    </row>
    <row r="19" spans="1:15" ht="23.75" customHeight="1" x14ac:dyDescent="0.35">
      <c r="A19" s="151" t="s">
        <v>120</v>
      </c>
      <c r="B19" s="169">
        <v>10</v>
      </c>
      <c r="C19" s="169">
        <v>6</v>
      </c>
      <c r="D19" s="169">
        <v>4</v>
      </c>
    </row>
    <row r="20" spans="1:15" ht="23.75" customHeight="1" x14ac:dyDescent="0.35">
      <c r="A20" s="151" t="s">
        <v>121</v>
      </c>
      <c r="B20" s="169">
        <v>15</v>
      </c>
      <c r="C20" s="169">
        <v>8</v>
      </c>
      <c r="D20" s="169">
        <v>4</v>
      </c>
    </row>
    <row r="21" spans="1:15" ht="23.75" customHeight="1" x14ac:dyDescent="0.35">
      <c r="A21" s="151" t="s">
        <v>122</v>
      </c>
      <c r="B21" s="169">
        <v>50</v>
      </c>
      <c r="C21" s="169">
        <v>40</v>
      </c>
      <c r="D21" s="169">
        <v>30</v>
      </c>
    </row>
    <row r="22" spans="1:15" ht="20" customHeight="1" x14ac:dyDescent="0.4">
      <c r="A22" s="149"/>
      <c r="B22" s="144"/>
      <c r="C22" s="143"/>
      <c r="D22" s="143"/>
    </row>
    <row r="23" spans="1:15" ht="20" customHeight="1" x14ac:dyDescent="0.35">
      <c r="A23" s="150" t="s">
        <v>34</v>
      </c>
      <c r="B23" s="158">
        <v>36</v>
      </c>
      <c r="C23" s="189">
        <f>SUM(B23:B25)</f>
        <v>52</v>
      </c>
      <c r="D23" s="143"/>
    </row>
    <row r="24" spans="1:15" ht="20" customHeight="1" x14ac:dyDescent="0.4">
      <c r="A24" s="151" t="s">
        <v>35</v>
      </c>
      <c r="B24" s="159">
        <v>13</v>
      </c>
      <c r="C24" s="189"/>
      <c r="D24" s="144"/>
    </row>
    <row r="25" spans="1:15" ht="17" customHeight="1" x14ac:dyDescent="0.4">
      <c r="A25" s="152" t="s">
        <v>36</v>
      </c>
      <c r="B25" s="160">
        <v>3</v>
      </c>
      <c r="C25" s="189"/>
      <c r="D25" s="144"/>
    </row>
    <row r="26" spans="1:15" ht="17" customHeight="1" x14ac:dyDescent="0.4">
      <c r="A26" s="149"/>
      <c r="B26" s="144"/>
      <c r="C26" s="144"/>
      <c r="D26" s="144"/>
    </row>
    <row r="27" spans="1:15" ht="14" customHeight="1" x14ac:dyDescent="0.4">
      <c r="A27" s="149"/>
      <c r="B27" s="144"/>
      <c r="C27" s="144"/>
      <c r="D27" s="144"/>
    </row>
    <row r="28" spans="1:15" ht="24.65" customHeight="1" x14ac:dyDescent="0.35">
      <c r="A28" s="148" t="s">
        <v>106</v>
      </c>
      <c r="B28" s="170">
        <v>5</v>
      </c>
      <c r="C28" s="143"/>
      <c r="D28" s="143"/>
    </row>
    <row r="29" spans="1:15" s="145" customFormat="1" ht="24.65" hidden="1" customHeight="1" x14ac:dyDescent="0.35">
      <c r="A29" s="147"/>
      <c r="B29" s="143"/>
      <c r="C29" s="143"/>
      <c r="D29" s="143"/>
      <c r="L29" s="1"/>
      <c r="M29" s="1"/>
      <c r="N29" s="1"/>
      <c r="O29" s="145">
        <v>3</v>
      </c>
    </row>
    <row r="30" spans="1:15" s="145" customFormat="1" ht="24.65" hidden="1" customHeight="1" x14ac:dyDescent="0.4">
      <c r="A30" s="146" t="s">
        <v>123</v>
      </c>
      <c r="B30" s="158">
        <v>20</v>
      </c>
      <c r="C30" s="143"/>
      <c r="D30" s="144"/>
      <c r="L30" s="1"/>
      <c r="M30" s="1"/>
      <c r="N30" s="1"/>
    </row>
    <row r="31" spans="1:15" ht="20" hidden="1" customHeight="1" x14ac:dyDescent="0.4">
      <c r="A31" s="146" t="s">
        <v>124</v>
      </c>
      <c r="B31" s="160">
        <v>15</v>
      </c>
      <c r="C31" s="143"/>
      <c r="D31" s="144"/>
    </row>
    <row r="32" spans="1:15" ht="18" hidden="1" x14ac:dyDescent="0.35">
      <c r="C32" s="143"/>
    </row>
  </sheetData>
  <sheetProtection selectLockedCells="1"/>
  <mergeCells count="9">
    <mergeCell ref="A1:D3"/>
    <mergeCell ref="J16:M18"/>
    <mergeCell ref="C23:C25"/>
    <mergeCell ref="A5:D5"/>
    <mergeCell ref="B9:B10"/>
    <mergeCell ref="C9:C10"/>
    <mergeCell ref="D9:D10"/>
    <mergeCell ref="A9:A10"/>
    <mergeCell ref="B7:C7"/>
  </mergeCells>
  <conditionalFormatting sqref="C23:C25">
    <cfRule type="cellIs" dxfId="2" priority="2" operator="lessThan">
      <formula>52</formula>
    </cfRule>
    <cfRule type="cellIs" dxfId="1" priority="3" operator="equal">
      <formula>52</formula>
    </cfRule>
    <cfRule type="cellIs" dxfId="0" priority="4" operator="greaterThan">
      <formula>52</formula>
    </cfRule>
  </conditionalFormatting>
  <dataValidations count="1">
    <dataValidation type="whole" operator="lessThanOrEqual" allowBlank="1" showInputMessage="1" showErrorMessage="1" sqref="B23:B25" xr:uid="{C75040A2-E735-43DE-90DC-BDA3D19AB0E1}">
      <formula1>52</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3D87693-842D-44C7-98CD-D3115E24A3C0}">
          <x14:formula1>
            <xm:f>'Base de données '!$C$4:$C$10</xm:f>
          </x14:formula1>
          <xm:sqref>B11:D11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59B7E-2B1C-4EA3-A775-67B6B9BCBD28}">
  <sheetPr>
    <tabColor theme="4" tint="0.59999389629810485"/>
  </sheetPr>
  <dimension ref="A1:Z30"/>
  <sheetViews>
    <sheetView zoomScale="70" zoomScaleNormal="70" workbookViewId="0">
      <selection activeCell="B25" sqref="B25:K25"/>
    </sheetView>
  </sheetViews>
  <sheetFormatPr baseColWidth="10" defaultColWidth="11.1640625" defaultRowHeight="14.5" x14ac:dyDescent="0.35"/>
  <cols>
    <col min="1" max="1" width="4.1640625" style="1" customWidth="1"/>
    <col min="2" max="2" width="35.1640625" style="1" customWidth="1"/>
    <col min="3" max="4" width="13.6640625" style="1" customWidth="1"/>
    <col min="5" max="5" width="16" style="1" customWidth="1"/>
    <col min="6" max="8" width="13.6640625" style="1" customWidth="1"/>
    <col min="9" max="9" width="13.58203125" style="1" customWidth="1"/>
    <col min="10" max="11" width="13.6640625" style="1" customWidth="1"/>
    <col min="12" max="12" width="26.1640625" style="1" customWidth="1"/>
    <col min="13" max="13" width="11.33203125" style="1" customWidth="1"/>
    <col min="14" max="15" width="7.5" style="1" customWidth="1"/>
    <col min="16" max="16" width="11.58203125" style="1" customWidth="1"/>
    <col min="17" max="17" width="8.83203125" style="1" customWidth="1"/>
    <col min="18" max="18" width="8.58203125" style="1" customWidth="1"/>
    <col min="19" max="16384" width="11.1640625" style="1"/>
  </cols>
  <sheetData>
    <row r="1" spans="1:26" ht="14.75" customHeight="1" x14ac:dyDescent="0.35">
      <c r="A1" s="229" t="s">
        <v>132</v>
      </c>
      <c r="B1" s="229"/>
      <c r="C1" s="229"/>
      <c r="D1" s="229"/>
      <c r="E1" s="229"/>
      <c r="F1" s="229"/>
      <c r="G1" s="229"/>
      <c r="H1" s="229"/>
      <c r="I1" s="229"/>
      <c r="J1" s="229"/>
      <c r="K1" s="229"/>
      <c r="L1" s="229"/>
      <c r="M1" s="229"/>
      <c r="N1" s="229"/>
      <c r="O1" s="229"/>
      <c r="P1" s="229"/>
      <c r="Q1" s="229"/>
    </row>
    <row r="2" spans="1:26" ht="14.75" customHeight="1" x14ac:dyDescent="0.35">
      <c r="A2" s="229"/>
      <c r="B2" s="229"/>
      <c r="C2" s="229"/>
      <c r="D2" s="229"/>
      <c r="E2" s="229"/>
      <c r="F2" s="229"/>
      <c r="G2" s="229"/>
      <c r="H2" s="229"/>
      <c r="I2" s="229"/>
      <c r="J2" s="229"/>
      <c r="K2" s="229"/>
      <c r="L2" s="229"/>
      <c r="M2" s="229"/>
      <c r="N2" s="229"/>
      <c r="O2" s="229"/>
      <c r="P2" s="229"/>
      <c r="Q2" s="229"/>
    </row>
    <row r="3" spans="1:26" ht="42.65" customHeight="1" x14ac:dyDescent="0.35">
      <c r="A3" s="229"/>
      <c r="B3" s="229"/>
      <c r="C3" s="229"/>
      <c r="D3" s="229"/>
      <c r="E3" s="229"/>
      <c r="F3" s="229"/>
      <c r="G3" s="229"/>
      <c r="H3" s="229"/>
      <c r="I3" s="229"/>
      <c r="J3" s="229"/>
      <c r="K3" s="229"/>
      <c r="L3" s="229"/>
      <c r="M3" s="229"/>
      <c r="N3" s="229"/>
      <c r="O3" s="229"/>
      <c r="P3" s="229"/>
      <c r="Q3" s="229"/>
    </row>
    <row r="4" spans="1:26" ht="23" x14ac:dyDescent="0.35">
      <c r="A4" s="2"/>
      <c r="B4" s="11"/>
      <c r="C4" s="11"/>
      <c r="D4" s="11"/>
      <c r="E4" s="11"/>
      <c r="F4" s="11"/>
      <c r="G4" s="11"/>
      <c r="H4" s="11"/>
      <c r="I4" s="11"/>
      <c r="J4" s="11"/>
      <c r="K4" s="11"/>
      <c r="L4" s="252"/>
      <c r="M4" s="252"/>
      <c r="N4" s="252"/>
      <c r="O4" s="11"/>
      <c r="P4" s="2"/>
      <c r="Q4" s="2"/>
    </row>
    <row r="5" spans="1:26" ht="30" customHeight="1" x14ac:dyDescent="0.35">
      <c r="A5" s="2"/>
      <c r="B5" s="14" t="s">
        <v>37</v>
      </c>
      <c r="C5" s="32">
        <f>NomEtb</f>
        <v>0</v>
      </c>
      <c r="D5" s="30"/>
      <c r="E5" s="30"/>
      <c r="F5" s="31"/>
      <c r="G5" s="31"/>
      <c r="H5" s="31"/>
      <c r="I5" s="3"/>
      <c r="J5" s="3"/>
      <c r="K5" s="3"/>
      <c r="L5" s="2"/>
      <c r="M5" s="2"/>
      <c r="N5" s="2"/>
      <c r="O5" s="2"/>
      <c r="P5" s="2"/>
      <c r="Q5" s="2"/>
    </row>
    <row r="6" spans="1:26" ht="18" customHeight="1" x14ac:dyDescent="0.35">
      <c r="A6" s="2"/>
      <c r="B6" s="253"/>
      <c r="C6" s="253"/>
      <c r="D6" s="253"/>
      <c r="E6" s="253"/>
      <c r="F6" s="253"/>
      <c r="G6" s="253"/>
      <c r="H6" s="253"/>
      <c r="I6" s="253"/>
      <c r="J6" s="253"/>
      <c r="K6" s="253"/>
      <c r="L6" s="253"/>
      <c r="M6" s="253"/>
      <c r="N6" s="253"/>
      <c r="O6" s="44"/>
      <c r="P6" s="2"/>
      <c r="Q6" s="2"/>
    </row>
    <row r="7" spans="1:26" ht="23.75" customHeight="1" thickBot="1" x14ac:dyDescent="0.4">
      <c r="A7" s="2"/>
      <c r="B7" s="253"/>
      <c r="C7" s="253"/>
      <c r="D7" s="253"/>
      <c r="E7" s="253"/>
      <c r="F7" s="253"/>
      <c r="G7" s="253"/>
      <c r="H7" s="253"/>
      <c r="I7" s="253"/>
      <c r="J7" s="253"/>
      <c r="K7" s="253"/>
      <c r="L7" s="253"/>
      <c r="M7" s="253"/>
      <c r="N7" s="253"/>
      <c r="O7" s="44"/>
      <c r="P7" s="2"/>
      <c r="Q7" s="2"/>
    </row>
    <row r="8" spans="1:26" ht="17.75" customHeight="1" x14ac:dyDescent="0.35">
      <c r="A8" s="2"/>
      <c r="B8" s="254" t="s">
        <v>38</v>
      </c>
      <c r="C8" s="254"/>
      <c r="D8" s="254"/>
      <c r="E8" s="254"/>
      <c r="F8" s="255"/>
      <c r="G8" s="255"/>
      <c r="H8" s="255"/>
      <c r="I8" s="255"/>
      <c r="J8" s="255"/>
      <c r="K8" s="255"/>
      <c r="L8" s="255"/>
      <c r="M8" s="255"/>
      <c r="N8" s="256"/>
      <c r="O8" s="54"/>
      <c r="P8" s="2"/>
      <c r="Q8" s="2"/>
    </row>
    <row r="9" spans="1:26" ht="44.75" customHeight="1" thickBot="1" x14ac:dyDescent="0.4">
      <c r="A9" s="2"/>
      <c r="B9" s="257" t="s">
        <v>108</v>
      </c>
      <c r="C9" s="260" t="s">
        <v>39</v>
      </c>
      <c r="D9" s="261"/>
      <c r="E9" s="261"/>
      <c r="F9" s="261"/>
      <c r="G9" s="261"/>
      <c r="H9" s="261"/>
      <c r="I9" s="261"/>
      <c r="J9" s="261"/>
      <c r="K9" s="261"/>
      <c r="L9" s="204" t="s">
        <v>40</v>
      </c>
      <c r="M9" s="205"/>
      <c r="N9" s="206"/>
      <c r="O9" s="54"/>
      <c r="P9" s="2"/>
      <c r="Q9" s="2"/>
    </row>
    <row r="10" spans="1:26" ht="23.75" customHeight="1" x14ac:dyDescent="0.35">
      <c r="A10" s="2"/>
      <c r="B10" s="258"/>
      <c r="C10" s="262" t="s">
        <v>41</v>
      </c>
      <c r="D10" s="262"/>
      <c r="E10" s="262"/>
      <c r="F10" s="245" t="s">
        <v>42</v>
      </c>
      <c r="G10" s="246"/>
      <c r="H10" s="246"/>
      <c r="I10" s="211" t="s">
        <v>43</v>
      </c>
      <c r="J10" s="212"/>
      <c r="K10" s="212"/>
      <c r="L10" s="218" t="s">
        <v>130</v>
      </c>
      <c r="M10" s="219"/>
      <c r="N10" s="220"/>
      <c r="O10" s="54"/>
      <c r="P10" s="2"/>
      <c r="Q10" s="2"/>
      <c r="S10" s="230" t="s">
        <v>140</v>
      </c>
      <c r="T10" s="231"/>
      <c r="U10" s="231"/>
      <c r="V10" s="231"/>
      <c r="W10" s="231"/>
      <c r="X10" s="231"/>
      <c r="Y10" s="231"/>
      <c r="Z10" s="232"/>
    </row>
    <row r="11" spans="1:26" ht="23.75" customHeight="1" x14ac:dyDescent="0.35">
      <c r="A11" s="2"/>
      <c r="B11" s="258"/>
      <c r="C11" s="263"/>
      <c r="D11" s="263"/>
      <c r="E11" s="263"/>
      <c r="F11" s="247"/>
      <c r="G11" s="248"/>
      <c r="H11" s="248"/>
      <c r="I11" s="213"/>
      <c r="J11" s="214"/>
      <c r="K11" s="214"/>
      <c r="L11" s="221"/>
      <c r="M11" s="222"/>
      <c r="N11" s="223"/>
      <c r="O11" s="54"/>
      <c r="P11" s="2"/>
      <c r="Q11" s="2"/>
      <c r="S11" s="233"/>
      <c r="T11" s="234"/>
      <c r="U11" s="234"/>
      <c r="V11" s="234"/>
      <c r="W11" s="234"/>
      <c r="X11" s="234"/>
      <c r="Y11" s="234"/>
      <c r="Z11" s="235"/>
    </row>
    <row r="12" spans="1:26" ht="47" customHeight="1" x14ac:dyDescent="0.35">
      <c r="A12" s="2"/>
      <c r="B12" s="259"/>
      <c r="C12" s="79" t="s">
        <v>48</v>
      </c>
      <c r="D12" s="79" t="s">
        <v>46</v>
      </c>
      <c r="E12" s="79" t="s">
        <v>47</v>
      </c>
      <c r="F12" s="78" t="s">
        <v>48</v>
      </c>
      <c r="G12" s="79" t="s">
        <v>46</v>
      </c>
      <c r="H12" s="79" t="s">
        <v>47</v>
      </c>
      <c r="I12" s="78" t="s">
        <v>48</v>
      </c>
      <c r="J12" s="79" t="s">
        <v>46</v>
      </c>
      <c r="K12" s="79" t="s">
        <v>47</v>
      </c>
      <c r="L12" s="215" t="s">
        <v>46</v>
      </c>
      <c r="M12" s="216"/>
      <c r="N12" s="217"/>
      <c r="O12" s="54"/>
      <c r="P12" s="2"/>
      <c r="Q12" s="2"/>
      <c r="S12" s="233"/>
      <c r="T12" s="234"/>
      <c r="U12" s="234"/>
      <c r="V12" s="234"/>
      <c r="W12" s="234"/>
      <c r="X12" s="234"/>
      <c r="Y12" s="234"/>
      <c r="Z12" s="235"/>
    </row>
    <row r="13" spans="1:26" ht="24" customHeight="1" x14ac:dyDescent="0.4">
      <c r="A13" s="2"/>
      <c r="B13" s="57" t="s">
        <v>29</v>
      </c>
      <c r="C13" s="66">
        <f>VLOOKUP('Caractéristiques du service'!$B$11,BaseUSIC,2,FALSE)</f>
        <v>22</v>
      </c>
      <c r="D13" s="67">
        <f>VLOOKUP('Caractéristiques du service'!$B$11,BaseUSIC,8,FALSE)</f>
        <v>10</v>
      </c>
      <c r="E13" s="67">
        <f>C13+D13</f>
        <v>32</v>
      </c>
      <c r="F13" s="69">
        <f>VLOOKUP('Caractéristiques du service'!$C$11,BaseUSIC,2,FALSE)</f>
        <v>22</v>
      </c>
      <c r="G13" s="163">
        <f>VLOOKUP('Caractéristiques du service'!$C$11,BaseUSIC,8,FALSE)</f>
        <v>10</v>
      </c>
      <c r="H13" s="72">
        <f>F13+G13</f>
        <v>32</v>
      </c>
      <c r="I13" s="164">
        <f>VLOOKUP('Caractéristiques du service'!$D$11,BaseUSIC,2,FALSE)</f>
        <v>11</v>
      </c>
      <c r="J13" s="164">
        <f>VLOOKUP('Caractéristiques du service'!$D$11,BaseUSIC,8,FALSE)</f>
        <v>10</v>
      </c>
      <c r="K13" s="164">
        <f>I13+J13</f>
        <v>21</v>
      </c>
      <c r="L13" s="236">
        <f>VLOOKUP('Caractéristiques du service'!$B$11,BaseUSIC,9,FALSE)</f>
        <v>7</v>
      </c>
      <c r="M13" s="237"/>
      <c r="N13" s="238"/>
      <c r="O13" s="54"/>
      <c r="P13" s="2"/>
      <c r="Q13" s="2"/>
      <c r="S13" s="239" t="s">
        <v>141</v>
      </c>
      <c r="T13" s="240"/>
      <c r="U13" s="240"/>
      <c r="V13" s="240"/>
      <c r="W13" s="240"/>
      <c r="X13" s="240"/>
      <c r="Y13" s="240"/>
      <c r="Z13" s="241"/>
    </row>
    <row r="14" spans="1:26" ht="24" customHeight="1" x14ac:dyDescent="0.4">
      <c r="A14" s="2"/>
      <c r="B14" s="58" t="s">
        <v>50</v>
      </c>
      <c r="C14" s="66">
        <f>VLOOKUP('Caractéristiques du service'!$B$12,base_HC[[#All],[Nombre de lits d''HC]:[Gardes (semaine)
Nombre de demi-journées postées par semaine en médecins seniors]],(2+'Caractéristiques du service'!$B$28),FALSE)</f>
        <v>23</v>
      </c>
      <c r="D14" s="67">
        <f>VLOOKUP('Caractéristiques du service'!$B$12,base_HC[[#All],[Nombre de lits d''HC]:[Gardes (semaine)
Nombre de demi-journées postées par semaine en médecins seniors]],18,FALSE)</f>
        <v>0</v>
      </c>
      <c r="E14" s="67">
        <f t="shared" ref="E14:E22" si="0">C14+D14</f>
        <v>23</v>
      </c>
      <c r="F14" s="69">
        <f>VLOOKUP('Caractéristiques du service'!$C$12,base_HC[[#All],[Nombre de lits d''HC]:[Gardes (semaine)
Nombre de demi-journées postées par semaine en médecins seniors]],(2+'Caractéristiques du service'!$B$28),FALSE)</f>
        <v>23</v>
      </c>
      <c r="G14" s="163">
        <f>VLOOKUP('Caractéristiques du service'!$C$12,base_HC[[#All],[Nombre de lits d''HC]:[Gardes (semaine)
Nombre de demi-journées postées par semaine en médecins seniors]],18,FALSE)</f>
        <v>0</v>
      </c>
      <c r="H14" s="72">
        <f>F14+G14</f>
        <v>23</v>
      </c>
      <c r="I14" s="70">
        <f>VLOOKUP('Caractéristiques du service'!$D$12,base_HC[[#All],[Nombre de lits d''HC]:[Gardes (semaine)
Nombre de demi-journées postées par semaine en médecins seniors]],(2+'Caractéristiques du service'!$B$28),FALSE)</f>
        <v>17</v>
      </c>
      <c r="J14" s="165">
        <f>VLOOKUP('Caractéristiques du service'!$D$12,base_HC[[#All],[Nombre de lits d''HC]:[Gardes (semaine)
Nombre de demi-journées postées par semaine en médecins seniors]],18,FALSE)</f>
        <v>0</v>
      </c>
      <c r="K14" s="164">
        <f>I14+J14</f>
        <v>17</v>
      </c>
      <c r="L14" s="249">
        <f>VLOOKUP('Caractéristiques du service'!$B$12,'Base de données '!M3:AE104,19,FALSE)</f>
        <v>2</v>
      </c>
      <c r="M14" s="250"/>
      <c r="N14" s="251"/>
      <c r="O14" s="54"/>
      <c r="P14" s="2"/>
      <c r="Q14" s="2"/>
      <c r="S14" s="239" t="s">
        <v>142</v>
      </c>
      <c r="T14" s="240"/>
      <c r="U14" s="240"/>
      <c r="V14" s="240"/>
      <c r="W14" s="240"/>
      <c r="X14" s="240"/>
      <c r="Y14" s="240"/>
      <c r="Z14" s="241"/>
    </row>
    <row r="15" spans="1:26" ht="24" customHeight="1" x14ac:dyDescent="0.4">
      <c r="A15" s="2"/>
      <c r="B15" s="58" t="s">
        <v>52</v>
      </c>
      <c r="C15" s="68">
        <f>_xlfn.XLOOKUP('Caractéristiques du service'!B15,base_HDJ7[Nombre de lits d''USC],base_HDJ7[Semaine 
Nombre de demi-journées postées par semaine en médecins seniors],0)</f>
        <v>0</v>
      </c>
      <c r="D15" s="71"/>
      <c r="E15" s="67">
        <f>C15</f>
        <v>0</v>
      </c>
      <c r="F15" s="69">
        <f>_xlfn.XLOOKUP('Caractéristiques du service'!C15,base_HDJ7[Nombre de lits d''USC],base_HDJ7[Semaine 
Nombre de demi-journées postées par semaine en médecins seniors],0)</f>
        <v>0</v>
      </c>
      <c r="G15" s="71"/>
      <c r="H15" s="72">
        <f>F15</f>
        <v>0</v>
      </c>
      <c r="I15" s="70">
        <f>_xlfn.XLOOKUP('Caractéristiques du service'!D15,base_HDJ7[Nombre de lits d''USC],base_HDJ7[Semaine 
Nombre de demi-journées postées par semaine en médecins seniors],0)</f>
        <v>0</v>
      </c>
      <c r="J15" s="71"/>
      <c r="K15" s="161">
        <f>I15</f>
        <v>0</v>
      </c>
      <c r="L15" s="166"/>
      <c r="M15" s="166"/>
      <c r="N15" s="166"/>
      <c r="O15" s="54"/>
      <c r="P15" s="2"/>
      <c r="Q15" s="2"/>
      <c r="S15" s="135" t="s">
        <v>143</v>
      </c>
      <c r="T15" s="34"/>
      <c r="U15" s="34"/>
      <c r="V15" s="34"/>
      <c r="W15" s="34"/>
      <c r="X15" s="34"/>
      <c r="Y15" s="34"/>
      <c r="Z15" s="136"/>
    </row>
    <row r="16" spans="1:26" ht="24" customHeight="1" thickBot="1" x14ac:dyDescent="0.45">
      <c r="A16" s="2"/>
      <c r="B16" s="58" t="s">
        <v>53</v>
      </c>
      <c r="C16" s="68" cm="1">
        <f t="array" ref="C16">ROUND(
_xlfn.XLOOKUP('Caractéristiques du service'!B13,base_HDS[Nombre de lits d''HDS],
IF('Caractéristiques du service'!$B$28&gt;0,base_HDS[Nb de demi-journées si présences d''internes],base_HDS[Semaine 
Nombre de demi-journées postées par semaine en médecins seniors]),0)
+_xlfn.XLOOKUP('Caractéristiques du service'!B14,base_HDJ[Nombre de places d''HDJ],IF('Caractéristiques du service'!$B$28&gt;0,base_HDJ[Nb de demi-journées si présences d''internes],base_HDJ[Semaine 
Nombre de demi-journées postées par semaine en médecins seniors]),0),0)</f>
        <v>5</v>
      </c>
      <c r="D16" s="71"/>
      <c r="E16" s="67">
        <f>C16+D16</f>
        <v>5</v>
      </c>
      <c r="F16" s="69" cm="1">
        <f t="array" ref="F16">ROUND(_xlfn.XLOOKUP('Caractéristiques du service'!$C$13,base_HDS[Nombre de lits d''HDS],IF('Caractéristiques du service'!$B$28&gt;0,base_HDS[Nb de demi-journées si présences d''internes],base_HDS[Semaine 
Nombre de demi-journées postées par semaine en médecins seniors]),0)+_xlfn.XLOOKUP('Caractéristiques du service'!C14,base_HDJ[Nombre de places d''HDJ],IF('Caractéristiques du service'!$B$28&gt;0,base_HDJ[Nb de demi-journées si présences d''internes],base_HDJ[Semaine 
Nombre de demi-journées postées par semaine en médecins seniors]),0),0)</f>
        <v>0</v>
      </c>
      <c r="G16" s="71"/>
      <c r="H16" s="72">
        <f t="shared" ref="H16:H22" si="1">F16+G16</f>
        <v>0</v>
      </c>
      <c r="I16" s="70" cm="1">
        <f t="array" ref="I16">ROUND(_xlfn.XLOOKUP('Caractéristiques du service'!$D$13,base_HDS[Nombre de lits d''HDS],IF('Caractéristiques du service'!$B$28&gt;0,base_HDS[Nb de demi-journées si présences d''internes],base_HDS[Semaine 
Nombre de demi-journées postées par semaine en médecins seniors]),0)+_xlfn.XLOOKUP('Caractéristiques du service'!D14,base_HDJ[Nombre de places d''HDJ],IF('Caractéristiques du service'!$B$28&gt;0,base_HDJ[Nb de demi-journées si présences d''internes],base_HDJ[Semaine 
Nombre de demi-journées postées par semaine en médecins seniors]),0),0)</f>
        <v>0</v>
      </c>
      <c r="J16" s="71"/>
      <c r="K16" s="161">
        <f>I16+J16</f>
        <v>0</v>
      </c>
      <c r="L16" s="166"/>
      <c r="M16" s="166"/>
      <c r="N16" s="166"/>
      <c r="O16" s="54"/>
      <c r="P16" s="2"/>
      <c r="Q16" s="2"/>
      <c r="S16" s="242" t="s">
        <v>144</v>
      </c>
      <c r="T16" s="243"/>
      <c r="U16" s="243"/>
      <c r="V16" s="243"/>
      <c r="W16" s="243"/>
      <c r="X16" s="243"/>
      <c r="Y16" s="243"/>
      <c r="Z16" s="244"/>
    </row>
    <row r="17" spans="1:26" ht="24" customHeight="1" x14ac:dyDescent="0.35">
      <c r="A17" s="2"/>
      <c r="B17" s="58" t="s">
        <v>55</v>
      </c>
      <c r="C17" s="68">
        <f>ROUNDUP(_xlfn.XLOOKUP(ROUNDUP('Caractéristiques du service'!B21,0),Tableau4[[Nombre de consultations internes  ]],Tableau4[Nombre de demi journées postées par semaine en médecins séniors],0),0)</f>
        <v>2</v>
      </c>
      <c r="D17" s="71"/>
      <c r="E17" s="67">
        <f t="shared" si="0"/>
        <v>2</v>
      </c>
      <c r="F17" s="69">
        <f>ROUNDUP(_xlfn.XLOOKUP(ROUNDUP('Caractéristiques du service'!C21,0),Tableau4[[Nombre de consultations internes  ]],Tableau4[Nombre de demi journées postées par semaine en médecins séniors],0),0)</f>
        <v>2</v>
      </c>
      <c r="G17" s="71"/>
      <c r="H17" s="72">
        <f t="shared" si="1"/>
        <v>2</v>
      </c>
      <c r="I17" s="70">
        <f>ROUNDUP(_xlfn.XLOOKUP(ROUNDUP('Caractéristiques du service'!D21,0),Tableau4[[Nombre de consultations internes  ]],Tableau4[Nombre de demi journées postées par semaine en médecins séniors],0),0)</f>
        <v>1</v>
      </c>
      <c r="J17" s="71"/>
      <c r="K17" s="161">
        <f>I17+J17</f>
        <v>1</v>
      </c>
      <c r="L17" s="166"/>
      <c r="M17" s="166"/>
      <c r="N17" s="166"/>
      <c r="O17" s="54"/>
      <c r="P17" s="2"/>
      <c r="Q17" s="2"/>
    </row>
    <row r="18" spans="1:26" ht="24" customHeight="1" x14ac:dyDescent="0.4">
      <c r="A18" s="2"/>
      <c r="B18" s="58" t="s">
        <v>57</v>
      </c>
      <c r="C18" s="68">
        <f>'Caractéristiques du service'!B20</f>
        <v>15</v>
      </c>
      <c r="D18" s="71"/>
      <c r="E18" s="67">
        <f t="shared" si="0"/>
        <v>15</v>
      </c>
      <c r="F18" s="69">
        <f>'Caractéristiques du service'!C20</f>
        <v>8</v>
      </c>
      <c r="G18" s="71"/>
      <c r="H18" s="72">
        <f t="shared" si="1"/>
        <v>8</v>
      </c>
      <c r="I18" s="70">
        <f>'Caractéristiques du service'!D20</f>
        <v>4</v>
      </c>
      <c r="J18" s="71"/>
      <c r="K18" s="161">
        <f>I18</f>
        <v>4</v>
      </c>
      <c r="L18" s="166"/>
      <c r="M18" s="166"/>
      <c r="N18" s="166"/>
      <c r="O18" s="54"/>
      <c r="P18" s="2"/>
      <c r="Q18" s="2"/>
      <c r="S18" s="137"/>
      <c r="T18" s="137"/>
      <c r="U18" s="137"/>
      <c r="V18" s="137"/>
      <c r="W18" s="137"/>
      <c r="X18" s="137"/>
      <c r="Y18" s="137"/>
      <c r="Z18" s="137"/>
    </row>
    <row r="19" spans="1:26" ht="24" customHeight="1" x14ac:dyDescent="0.35">
      <c r="A19" s="2"/>
      <c r="B19" s="58" t="s">
        <v>58</v>
      </c>
      <c r="C19" s="68">
        <f>'Caractéristiques du service'!B17</f>
        <v>44</v>
      </c>
      <c r="D19" s="71"/>
      <c r="E19" s="67">
        <f t="shared" si="0"/>
        <v>44</v>
      </c>
      <c r="F19" s="69">
        <f>'Caractéristiques du service'!C17</f>
        <v>30</v>
      </c>
      <c r="G19" s="71"/>
      <c r="H19" s="72">
        <f t="shared" si="1"/>
        <v>30</v>
      </c>
      <c r="I19" s="70">
        <f>'Caractéristiques du service'!D17</f>
        <v>20</v>
      </c>
      <c r="J19" s="71"/>
      <c r="K19" s="161">
        <f>I19+J19</f>
        <v>20</v>
      </c>
      <c r="L19" s="166"/>
      <c r="M19" s="166"/>
      <c r="N19" s="166"/>
      <c r="O19" s="54"/>
      <c r="P19" s="2"/>
      <c r="Q19" s="2"/>
    </row>
    <row r="20" spans="1:26" ht="24" customHeight="1" x14ac:dyDescent="0.35">
      <c r="A20" s="2"/>
      <c r="B20" s="58" t="s">
        <v>59</v>
      </c>
      <c r="C20" s="68">
        <f>'Caractéristiques du service'!B18</f>
        <v>10</v>
      </c>
      <c r="D20" s="71"/>
      <c r="E20" s="67">
        <f t="shared" si="0"/>
        <v>10</v>
      </c>
      <c r="F20" s="69">
        <f>'Caractéristiques du service'!C18</f>
        <v>10</v>
      </c>
      <c r="G20" s="71"/>
      <c r="H20" s="72">
        <f t="shared" si="1"/>
        <v>10</v>
      </c>
      <c r="I20" s="70">
        <f>'Caractéristiques du service'!D18</f>
        <v>10</v>
      </c>
      <c r="J20" s="71"/>
      <c r="K20" s="161">
        <f>I20+J20</f>
        <v>10</v>
      </c>
      <c r="L20" s="166"/>
      <c r="M20" s="166"/>
      <c r="N20" s="166"/>
      <c r="O20" s="54"/>
      <c r="P20" s="2"/>
      <c r="Q20" s="2"/>
    </row>
    <row r="21" spans="1:26" ht="24" customHeight="1" x14ac:dyDescent="0.35">
      <c r="A21" s="2"/>
      <c r="B21" s="58" t="s">
        <v>60</v>
      </c>
      <c r="C21" s="68">
        <f>'Caractéristiques du service'!B19</f>
        <v>10</v>
      </c>
      <c r="D21" s="71"/>
      <c r="E21" s="67">
        <f t="shared" si="0"/>
        <v>10</v>
      </c>
      <c r="F21" s="69">
        <f>'Caractéristiques du service'!C19</f>
        <v>6</v>
      </c>
      <c r="G21" s="71"/>
      <c r="H21" s="72">
        <f t="shared" si="1"/>
        <v>6</v>
      </c>
      <c r="I21" s="70">
        <f>'Caractéristiques du service'!D19</f>
        <v>4</v>
      </c>
      <c r="J21" s="71"/>
      <c r="K21" s="161">
        <f>I21+J21</f>
        <v>4</v>
      </c>
      <c r="L21" s="166"/>
      <c r="M21" s="166"/>
      <c r="N21" s="166"/>
      <c r="O21" s="54"/>
      <c r="P21" s="2"/>
      <c r="Q21" s="2"/>
    </row>
    <row r="22" spans="1:26" ht="24" customHeight="1" x14ac:dyDescent="0.35">
      <c r="A22" s="2"/>
      <c r="B22" s="59" t="s">
        <v>61</v>
      </c>
      <c r="C22" s="73">
        <f>'Caractéristiques du service'!B16</f>
        <v>4</v>
      </c>
      <c r="D22" s="71"/>
      <c r="E22" s="74">
        <f t="shared" si="0"/>
        <v>4</v>
      </c>
      <c r="F22" s="75">
        <f>'Caractéristiques du service'!C16</f>
        <v>4</v>
      </c>
      <c r="G22" s="71"/>
      <c r="H22" s="76">
        <f t="shared" si="1"/>
        <v>4</v>
      </c>
      <c r="I22" s="77">
        <f>'Caractéristiques du service'!D16</f>
        <v>4</v>
      </c>
      <c r="J22" s="71"/>
      <c r="K22" s="162">
        <f>I22+J22</f>
        <v>4</v>
      </c>
      <c r="L22" s="166"/>
      <c r="M22" s="166"/>
      <c r="N22" s="166"/>
      <c r="O22" s="54"/>
      <c r="P22" s="2"/>
      <c r="Q22" s="2"/>
    </row>
    <row r="23" spans="1:26" ht="22.25" customHeight="1" x14ac:dyDescent="0.35">
      <c r="A23" s="2"/>
      <c r="B23" s="80" t="s">
        <v>62</v>
      </c>
      <c r="C23" s="81">
        <f>SUM(C13:C22)</f>
        <v>135</v>
      </c>
      <c r="D23" s="81">
        <f t="shared" ref="D23:L23" si="2">SUM(D13:D22)</f>
        <v>10</v>
      </c>
      <c r="E23" s="81">
        <f>C23+D23</f>
        <v>145</v>
      </c>
      <c r="F23" s="82">
        <f t="shared" si="2"/>
        <v>105</v>
      </c>
      <c r="G23" s="81">
        <f t="shared" si="2"/>
        <v>10</v>
      </c>
      <c r="H23" s="81">
        <f>F23+G23</f>
        <v>115</v>
      </c>
      <c r="I23" s="82">
        <f>SUM(I13:I22)</f>
        <v>71</v>
      </c>
      <c r="J23" s="81">
        <f t="shared" si="2"/>
        <v>10</v>
      </c>
      <c r="K23" s="81">
        <f>SUM(K13:K22)</f>
        <v>81</v>
      </c>
      <c r="L23" s="207">
        <f t="shared" si="2"/>
        <v>9</v>
      </c>
      <c r="M23" s="208"/>
      <c r="N23" s="209"/>
      <c r="O23" s="54"/>
      <c r="P23" s="2"/>
      <c r="Q23" s="2"/>
    </row>
    <row r="24" spans="1:26" ht="13.5" customHeight="1" x14ac:dyDescent="0.35">
      <c r="A24" s="2"/>
      <c r="B24" s="2"/>
      <c r="C24" s="2"/>
      <c r="D24" s="2"/>
      <c r="E24" s="2"/>
      <c r="F24" s="2"/>
      <c r="G24" s="2"/>
      <c r="H24" s="2"/>
      <c r="I24" s="2"/>
      <c r="J24" s="54" t="e">
        <f>(#REF!)*'Caractéristiques du service'!#REF!</f>
        <v>#REF!</v>
      </c>
      <c r="K24" s="54" t="e">
        <f>(A23)*'Caractéristiques du service'!#REF!</f>
        <v>#REF!</v>
      </c>
      <c r="L24" s="54" t="e">
        <f>(B23)*'Caractéristiques du service'!#REF!</f>
        <v>#VALUE!</v>
      </c>
      <c r="M24" s="54" t="e">
        <f>(C23)*'Caractéristiques du service'!#REF!</f>
        <v>#REF!</v>
      </c>
      <c r="N24" s="54" t="e">
        <f>(D23)*'Caractéristiques du service'!A23</f>
        <v>#VALUE!</v>
      </c>
      <c r="O24" s="54">
        <f>(E23)*'Caractéristiques du service'!B23</f>
        <v>5220</v>
      </c>
      <c r="P24" s="2"/>
      <c r="Q24" s="2"/>
    </row>
    <row r="25" spans="1:26" ht="34.25" customHeight="1" x14ac:dyDescent="0.35">
      <c r="A25" s="2"/>
      <c r="B25" s="224" t="s">
        <v>134</v>
      </c>
      <c r="C25" s="224"/>
      <c r="D25" s="224"/>
      <c r="E25" s="224"/>
      <c r="F25" s="224"/>
      <c r="G25" s="224"/>
      <c r="H25" s="224"/>
      <c r="I25" s="224"/>
      <c r="J25" s="224"/>
      <c r="K25" s="224"/>
      <c r="L25" s="210" t="s">
        <v>63</v>
      </c>
      <c r="M25" s="131">
        <f>(
(SUM(
(E23)*'Caractéristiques du service'!B23,
(Résultats!H23)*'Caractéristiques du service'!B24,
(Résultats!K23)*'Caractéristiques du service'!B25,
Résultats!L23*52,
(IF(SUM('Caractéristiques du service'!$B$11:$D$15)=0,0,'Base de données '!AV4)))
/'Base de données '!AV11)
-'Caractéristiques du service'!B28*0.5*'Base de données '!AV11/'Base de données '!AV6*(SUM(C13:C15)/(SUM(C13:C22)+1))
)</f>
        <v>17.826457836373525</v>
      </c>
      <c r="N25" s="132" t="s">
        <v>64</v>
      </c>
      <c r="O25" s="54"/>
      <c r="P25" s="225">
        <f>SUM(M25:M27)</f>
        <v>21.79918369127407</v>
      </c>
      <c r="Q25" s="227" t="s">
        <v>64</v>
      </c>
    </row>
    <row r="26" spans="1:26" ht="34.25" customHeight="1" x14ac:dyDescent="0.35">
      <c r="A26" s="2"/>
      <c r="B26" s="203" t="s">
        <v>139</v>
      </c>
      <c r="C26" s="203"/>
      <c r="D26" s="203"/>
      <c r="E26" s="203"/>
      <c r="F26" s="203"/>
      <c r="G26" s="203"/>
      <c r="H26" s="203"/>
      <c r="I26" s="203"/>
      <c r="J26" s="203"/>
      <c r="K26" s="203"/>
      <c r="L26" s="210"/>
      <c r="M26" s="55">
        <f>(((SUM((E23)*'Caractéristiques du service'!B23,(Résultats!H23)*'Caractéristiques du service'!B24,(Résultats!K23)*'Caractéristiques du service'!B25,Résultats!L23*52,
(IF(SUM('Caractéristiques du service'!$B$11:$D$15)=0,0,'Base de données '!AV4))))/'Base de données '!AV8)
-'Caractéristiques du service'!B28*0.5*'Base de données '!AV8/'Base de données '!AV6*(SUM(C13:C15)/(SUM(C13:C22)+1))-M25)-M27</f>
        <v>1.8790655392894138</v>
      </c>
      <c r="N26" s="29" t="s">
        <v>64</v>
      </c>
      <c r="O26" s="54"/>
      <c r="P26" s="226"/>
      <c r="Q26" s="228"/>
    </row>
    <row r="27" spans="1:26" ht="34.25" customHeight="1" x14ac:dyDescent="0.35">
      <c r="A27" s="2"/>
      <c r="B27" s="203" t="s">
        <v>146</v>
      </c>
      <c r="C27" s="203"/>
      <c r="D27" s="203"/>
      <c r="E27" s="203"/>
      <c r="F27" s="203"/>
      <c r="G27" s="203"/>
      <c r="H27" s="203"/>
      <c r="I27" s="203"/>
      <c r="J27" s="203"/>
      <c r="K27" s="203"/>
      <c r="L27" s="210"/>
      <c r="M27" s="55">
        <f>((SUM((E23)*'Caractéristiques du service'!B23,(Résultats!H23)*'Caractéristiques du service'!B24,(Résultats!K23)*'Caractéristiques du service'!B25,Résultats!L23*52,(IF(SUM('Caractéristiques du service'!$B$11:$D$15)=0,0,'Base de données '!AV4))))/'Base de données '!AV14)-'Caractéristiques du service'!B28*0.5*'Base de données '!AV14/'Base de données '!AV6*(SUM(C13:C15)/(SUM(C13:C22)+1))-M25</f>
        <v>2.0936603156111318</v>
      </c>
      <c r="N27" s="29" t="s">
        <v>64</v>
      </c>
      <c r="O27" s="54"/>
      <c r="P27" s="226"/>
      <c r="Q27" s="228"/>
    </row>
    <row r="29" spans="1:26" ht="14.75" customHeight="1" x14ac:dyDescent="0.35"/>
    <row r="30" spans="1:26" x14ac:dyDescent="0.35">
      <c r="C30" s="1" cm="1">
        <f t="array" ref="C30">ROUND(
_xlfn.XLOOKUP('Caractéristiques du service'!B13,base_HDS[Nombre de lits d''HDS],
IF('Caractéristiques du service'!$B$28&gt;0,base_HDS[Nb de demi-journées si présences d''internes],base_HDS[Semaine 
Nombre de demi-journées postées par semaine en médecins seniors]),0)
+_xlfn.XLOOKUP('Caractéristiques du service'!B14,base_HDJ[Nombre de places d''HDJ],IF('Caractéristiques du service'!$B$28&gt;0,base_HDJ[Nb de demi-journées si présences d''internes],base_HDJ[Semaine 
Nombre de demi-journées postées par semaine en médecins seniors]),0),0)</f>
        <v>5</v>
      </c>
    </row>
  </sheetData>
  <sheetProtection algorithmName="SHA-512" hashValue="U7z29qR10U9esRTqomacxqs9kTavOXMilH2xswpmJfKEk0HbQ7hA2pOd6NEUmEq9pg252h1sL03yVOg/GvoSHg==" saltValue="S68QGOD8zONxnGuK3s+zPQ==" spinCount="100000" sheet="1" objects="1" scenarios="1"/>
  <mergeCells count="25">
    <mergeCell ref="P25:P27"/>
    <mergeCell ref="Q25:Q27"/>
    <mergeCell ref="A1:Q3"/>
    <mergeCell ref="S10:Z12"/>
    <mergeCell ref="L13:N13"/>
    <mergeCell ref="S13:Z13"/>
    <mergeCell ref="S14:Z14"/>
    <mergeCell ref="S16:Z16"/>
    <mergeCell ref="F10:H11"/>
    <mergeCell ref="L14:N14"/>
    <mergeCell ref="L4:N4"/>
    <mergeCell ref="B6:N7"/>
    <mergeCell ref="B8:N8"/>
    <mergeCell ref="B9:B12"/>
    <mergeCell ref="C9:K9"/>
    <mergeCell ref="C10:E11"/>
    <mergeCell ref="B27:K27"/>
    <mergeCell ref="L9:N9"/>
    <mergeCell ref="L23:N23"/>
    <mergeCell ref="L25:L27"/>
    <mergeCell ref="I10:K11"/>
    <mergeCell ref="L12:N12"/>
    <mergeCell ref="L10:N11"/>
    <mergeCell ref="B26:K26"/>
    <mergeCell ref="B25:K25"/>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DBBFF-0615-4AC1-9208-D1AB2B9B8878}">
  <sheetPr>
    <tabColor theme="4"/>
  </sheetPr>
  <dimension ref="A1:Z29"/>
  <sheetViews>
    <sheetView zoomScale="70" zoomScaleNormal="70" workbookViewId="0">
      <selection activeCell="Q25" sqref="A1:Q27"/>
    </sheetView>
  </sheetViews>
  <sheetFormatPr baseColWidth="10" defaultColWidth="11.1640625" defaultRowHeight="14.5" x14ac:dyDescent="0.35"/>
  <cols>
    <col min="1" max="1" width="4.6640625" style="1" customWidth="1"/>
    <col min="2" max="2" width="35.58203125" style="1" customWidth="1"/>
    <col min="3" max="11" width="13.6640625" style="1" customWidth="1"/>
    <col min="12" max="12" width="26.1640625" style="1" customWidth="1"/>
    <col min="13" max="14" width="7.5" style="1" customWidth="1"/>
    <col min="15" max="15" width="6.58203125" style="1" customWidth="1"/>
    <col min="16" max="16" width="10.1640625" style="1" customWidth="1"/>
    <col min="17" max="17" width="8.33203125" style="1" customWidth="1"/>
    <col min="18" max="18" width="8.58203125" style="1" customWidth="1"/>
    <col min="19" max="16384" width="11.1640625" style="1"/>
  </cols>
  <sheetData>
    <row r="1" spans="1:26" ht="14.75" customHeight="1" x14ac:dyDescent="0.35">
      <c r="A1" s="229" t="s">
        <v>133</v>
      </c>
      <c r="B1" s="229"/>
      <c r="C1" s="229"/>
      <c r="D1" s="229"/>
      <c r="E1" s="229"/>
      <c r="F1" s="229"/>
      <c r="G1" s="229"/>
      <c r="H1" s="229"/>
      <c r="I1" s="229"/>
      <c r="J1" s="229"/>
      <c r="K1" s="229"/>
      <c r="L1" s="229"/>
      <c r="M1" s="229"/>
      <c r="N1" s="229"/>
      <c r="O1" s="229"/>
      <c r="P1" s="229"/>
      <c r="Q1" s="229"/>
    </row>
    <row r="2" spans="1:26" ht="14.75" customHeight="1" x14ac:dyDescent="0.35">
      <c r="A2" s="229"/>
      <c r="B2" s="229"/>
      <c r="C2" s="229"/>
      <c r="D2" s="229"/>
      <c r="E2" s="229"/>
      <c r="F2" s="229"/>
      <c r="G2" s="229"/>
      <c r="H2" s="229"/>
      <c r="I2" s="229"/>
      <c r="J2" s="229"/>
      <c r="K2" s="229"/>
      <c r="L2" s="229"/>
      <c r="M2" s="229"/>
      <c r="N2" s="229"/>
      <c r="O2" s="229"/>
      <c r="P2" s="229"/>
      <c r="Q2" s="229"/>
    </row>
    <row r="3" spans="1:26" ht="42.65" customHeight="1" x14ac:dyDescent="0.35">
      <c r="A3" s="229"/>
      <c r="B3" s="229"/>
      <c r="C3" s="229"/>
      <c r="D3" s="229"/>
      <c r="E3" s="229"/>
      <c r="F3" s="229"/>
      <c r="G3" s="229"/>
      <c r="H3" s="229"/>
      <c r="I3" s="229"/>
      <c r="J3" s="229"/>
      <c r="K3" s="229"/>
      <c r="L3" s="229"/>
      <c r="M3" s="229"/>
      <c r="N3" s="229"/>
      <c r="O3" s="229"/>
      <c r="P3" s="229"/>
      <c r="Q3" s="229"/>
    </row>
    <row r="4" spans="1:26" ht="23" x14ac:dyDescent="0.35">
      <c r="A4" s="2"/>
      <c r="B4" s="11"/>
      <c r="C4" s="11"/>
      <c r="D4" s="11"/>
      <c r="E4" s="11"/>
      <c r="F4" s="11"/>
      <c r="G4" s="11"/>
      <c r="H4" s="11"/>
      <c r="I4" s="11"/>
      <c r="J4" s="11"/>
      <c r="K4" s="11"/>
      <c r="L4" s="11"/>
      <c r="M4" s="11"/>
      <c r="N4" s="11"/>
      <c r="O4" s="11"/>
      <c r="P4" s="2"/>
      <c r="Q4" s="2"/>
    </row>
    <row r="5" spans="1:26" ht="30" customHeight="1" x14ac:dyDescent="0.35">
      <c r="A5" s="2"/>
      <c r="B5" s="14" t="s">
        <v>37</v>
      </c>
      <c r="C5" s="32">
        <f>NomEtb</f>
        <v>0</v>
      </c>
      <c r="D5" s="30"/>
      <c r="E5" s="30"/>
      <c r="F5" s="31"/>
      <c r="G5" s="31"/>
      <c r="H5" s="31"/>
      <c r="I5" s="3"/>
      <c r="J5" s="3"/>
      <c r="K5" s="3"/>
      <c r="L5" s="2"/>
      <c r="M5" s="2"/>
      <c r="N5" s="2"/>
      <c r="O5" s="2"/>
      <c r="P5" s="2"/>
      <c r="Q5" s="2"/>
    </row>
    <row r="6" spans="1:26" ht="18" customHeight="1" x14ac:dyDescent="0.35">
      <c r="A6" s="2"/>
      <c r="B6" s="253"/>
      <c r="C6" s="253"/>
      <c r="D6" s="253"/>
      <c r="E6" s="253"/>
      <c r="F6" s="253"/>
      <c r="G6" s="253"/>
      <c r="H6" s="253"/>
      <c r="I6" s="253"/>
      <c r="J6" s="253"/>
      <c r="K6" s="253"/>
      <c r="L6" s="253"/>
      <c r="M6" s="253"/>
      <c r="N6" s="253"/>
      <c r="O6" s="44"/>
      <c r="P6" s="2"/>
      <c r="Q6" s="2"/>
    </row>
    <row r="7" spans="1:26" ht="23.75" customHeight="1" thickBot="1" x14ac:dyDescent="0.4">
      <c r="A7" s="2"/>
      <c r="B7" s="253"/>
      <c r="C7" s="253"/>
      <c r="D7" s="253"/>
      <c r="E7" s="253"/>
      <c r="F7" s="253"/>
      <c r="G7" s="253"/>
      <c r="H7" s="253"/>
      <c r="I7" s="253"/>
      <c r="J7" s="253"/>
      <c r="K7" s="253"/>
      <c r="L7" s="253"/>
      <c r="M7" s="253"/>
      <c r="N7" s="253"/>
      <c r="O7" s="44"/>
      <c r="P7" s="2"/>
      <c r="Q7" s="2"/>
    </row>
    <row r="8" spans="1:26" ht="17.75" customHeight="1" x14ac:dyDescent="0.35">
      <c r="A8" s="2"/>
      <c r="B8" s="288" t="s">
        <v>38</v>
      </c>
      <c r="C8" s="288"/>
      <c r="D8" s="288"/>
      <c r="E8" s="288"/>
      <c r="F8" s="289"/>
      <c r="G8" s="289"/>
      <c r="H8" s="289"/>
      <c r="I8" s="289"/>
      <c r="J8" s="289"/>
      <c r="K8" s="289"/>
      <c r="L8" s="289"/>
      <c r="M8" s="289"/>
      <c r="N8" s="290"/>
      <c r="O8" s="44"/>
      <c r="P8" s="2"/>
      <c r="Q8" s="2"/>
    </row>
    <row r="9" spans="1:26" ht="44.75" customHeight="1" thickBot="1" x14ac:dyDescent="0.4">
      <c r="A9" s="2"/>
      <c r="B9" s="257" t="s">
        <v>108</v>
      </c>
      <c r="C9" s="260" t="s">
        <v>39</v>
      </c>
      <c r="D9" s="261"/>
      <c r="E9" s="261"/>
      <c r="F9" s="261"/>
      <c r="G9" s="261"/>
      <c r="H9" s="261"/>
      <c r="I9" s="261"/>
      <c r="J9" s="261"/>
      <c r="K9" s="261"/>
      <c r="L9" s="204" t="s">
        <v>40</v>
      </c>
      <c r="M9" s="205"/>
      <c r="N9" s="206"/>
      <c r="O9" s="44"/>
      <c r="P9" s="2"/>
      <c r="Q9" s="2"/>
    </row>
    <row r="10" spans="1:26" ht="23.75" customHeight="1" x14ac:dyDescent="0.35">
      <c r="A10" s="2"/>
      <c r="B10" s="258"/>
      <c r="C10" s="267" t="s">
        <v>41</v>
      </c>
      <c r="D10" s="262"/>
      <c r="E10" s="262"/>
      <c r="F10" s="269" t="s">
        <v>42</v>
      </c>
      <c r="G10" s="270"/>
      <c r="H10" s="270"/>
      <c r="I10" s="211" t="s">
        <v>43</v>
      </c>
      <c r="J10" s="212"/>
      <c r="K10" s="212"/>
      <c r="L10" s="218" t="s">
        <v>44</v>
      </c>
      <c r="M10" s="219"/>
      <c r="N10" s="220"/>
      <c r="O10" s="44"/>
      <c r="P10" s="2"/>
      <c r="Q10" s="2"/>
      <c r="S10" s="273" t="s">
        <v>45</v>
      </c>
      <c r="T10" s="274"/>
      <c r="U10" s="274"/>
      <c r="V10" s="274"/>
      <c r="W10" s="274"/>
      <c r="X10" s="274"/>
      <c r="Y10" s="274"/>
      <c r="Z10" s="275"/>
    </row>
    <row r="11" spans="1:26" ht="23.75" customHeight="1" x14ac:dyDescent="0.35">
      <c r="A11" s="2"/>
      <c r="B11" s="258"/>
      <c r="C11" s="268"/>
      <c r="D11" s="263"/>
      <c r="E11" s="263"/>
      <c r="F11" s="271"/>
      <c r="G11" s="272"/>
      <c r="H11" s="272"/>
      <c r="I11" s="213"/>
      <c r="J11" s="214"/>
      <c r="K11" s="214"/>
      <c r="L11" s="221"/>
      <c r="M11" s="222"/>
      <c r="N11" s="223"/>
      <c r="O11" s="44"/>
      <c r="P11" s="2"/>
      <c r="Q11" s="2"/>
      <c r="S11" s="276"/>
      <c r="T11" s="277"/>
      <c r="U11" s="277"/>
      <c r="V11" s="277"/>
      <c r="W11" s="277"/>
      <c r="X11" s="277"/>
      <c r="Y11" s="277"/>
      <c r="Z11" s="278"/>
    </row>
    <row r="12" spans="1:26" ht="30" customHeight="1" x14ac:dyDescent="0.35">
      <c r="A12" s="2"/>
      <c r="B12" s="259"/>
      <c r="C12" s="78" t="s">
        <v>48</v>
      </c>
      <c r="D12" s="79" t="s">
        <v>46</v>
      </c>
      <c r="E12" s="79" t="s">
        <v>47</v>
      </c>
      <c r="F12" s="78" t="s">
        <v>48</v>
      </c>
      <c r="G12" s="79" t="s">
        <v>46</v>
      </c>
      <c r="H12" s="79" t="s">
        <v>47</v>
      </c>
      <c r="I12" s="78" t="s">
        <v>48</v>
      </c>
      <c r="J12" s="79" t="s">
        <v>46</v>
      </c>
      <c r="K12" s="79" t="s">
        <v>47</v>
      </c>
      <c r="L12" s="215" t="s">
        <v>46</v>
      </c>
      <c r="M12" s="216"/>
      <c r="N12" s="217"/>
      <c r="O12" s="44"/>
      <c r="P12" s="2"/>
      <c r="Q12" s="2"/>
      <c r="S12" s="276"/>
      <c r="T12" s="277"/>
      <c r="U12" s="277"/>
      <c r="V12" s="277"/>
      <c r="W12" s="277"/>
      <c r="X12" s="277"/>
      <c r="Y12" s="277"/>
      <c r="Z12" s="278"/>
    </row>
    <row r="13" spans="1:26" ht="24" customHeight="1" x14ac:dyDescent="0.35">
      <c r="A13" s="2"/>
      <c r="B13" s="90" t="s">
        <v>65</v>
      </c>
      <c r="C13" s="92">
        <f>VLOOKUP('Caractéristiques du service'!$B$11,BaseUSIC,2,FALSE)*5</f>
        <v>110</v>
      </c>
      <c r="D13" s="88">
        <f>VLOOKUP('Caractéristiques du service'!$B$11,BaseUSIC,8,FALSE)*7</f>
        <v>70</v>
      </c>
      <c r="E13" s="88">
        <f>C13+D13</f>
        <v>180</v>
      </c>
      <c r="F13" s="98">
        <f>VLOOKUP('Caractéristiques du service'!$C$11,BaseUSIC,2,FALSE)*5</f>
        <v>110</v>
      </c>
      <c r="G13" s="86">
        <f>VLOOKUP('Caractéristiques du service'!$C$11,BaseUSIC,8,FALSE)*7</f>
        <v>70</v>
      </c>
      <c r="H13" s="86">
        <f>F13+G13</f>
        <v>180</v>
      </c>
      <c r="I13" s="102">
        <f>VLOOKUP('Caractéristiques du service'!$D$11,BaseUSIC,2,FALSE)*5</f>
        <v>55</v>
      </c>
      <c r="J13" s="83">
        <f>VLOOKUP('Caractéristiques du service'!$D$11,BaseUSIC,8,FALSE)*7</f>
        <v>70</v>
      </c>
      <c r="K13" s="84">
        <f>I13+J13</f>
        <v>125</v>
      </c>
      <c r="L13" s="279">
        <f>IF('Caractéristiques du service'!$B$11&gt;1,38,0)</f>
        <v>38</v>
      </c>
      <c r="M13" s="280"/>
      <c r="N13" s="281"/>
      <c r="O13" s="44"/>
      <c r="P13" s="2"/>
      <c r="Q13" s="2"/>
      <c r="S13" s="264" t="s">
        <v>49</v>
      </c>
      <c r="T13" s="265"/>
      <c r="U13" s="265"/>
      <c r="V13" s="265"/>
      <c r="W13" s="265"/>
      <c r="X13" s="265"/>
      <c r="Y13" s="265"/>
      <c r="Z13" s="266"/>
    </row>
    <row r="14" spans="1:26" ht="24" customHeight="1" x14ac:dyDescent="0.35">
      <c r="A14" s="2"/>
      <c r="B14" s="58" t="s">
        <v>50</v>
      </c>
      <c r="C14" s="138">
        <f>VLOOKUP('Caractéristiques du service'!$B$12,base_HC[[#All],[Nombre de lits d''HC]:[Gardes (semaine)
Nombre de demi-journées postées par semaine en médecins seniors]],(2+'Caractéristiques du service'!$B$28),FALSE)</f>
        <v>23</v>
      </c>
      <c r="D14" s="60">
        <f>VLOOKUP('Caractéristiques du service'!$B$12,base_HC[[#All],[Nombre de lits d''HC]:[Gardes (semaine)
Nombre de demi-journées postées par semaine en médecins seniors]],18,FALSE)</f>
        <v>0</v>
      </c>
      <c r="E14" s="60">
        <f t="shared" ref="E14" si="0">C14+D14</f>
        <v>23</v>
      </c>
      <c r="F14" s="100">
        <f>VLOOKUP('Caractéristiques du service'!$C$12,base_HC[[#All],[Nombre de lits d''HC]:[Gardes (semaine)
Nombre de demi-journées postées par semaine en médecins seniors]],(2+'Caractéristiques du service'!$B$28),FALSE)</f>
        <v>23</v>
      </c>
      <c r="G14" s="141">
        <f>VLOOKUP('Caractéristiques du service'!$C$12,base_HC[[#All],[Nombre de lits d''HC]:[Gardes (semaine)
Nombre de demi-journées postées par semaine en médecins seniors]],18,FALSE)</f>
        <v>0</v>
      </c>
      <c r="H14" s="142">
        <f t="shared" ref="H14" si="1">F14+G14</f>
        <v>23</v>
      </c>
      <c r="I14" s="61">
        <f>VLOOKUP('Caractéristiques du service'!$D$12,base_HC[[#All],[Nombre de lits d''HC]:[Gardes (semaine)
Nombre de demi-journées postées par semaine en médecins seniors]],(2+'Caractéristiques du service'!$B$28),FALSE)</f>
        <v>17</v>
      </c>
      <c r="J14" s="63">
        <f>VLOOKUP('Caractéristiques du service'!$D$12,base_HC[[#All],[Nombre de lits d''HC]:[Gardes (semaine)
Nombre de demi-journées postées par semaine en médecins seniors]],18,FALSE)</f>
        <v>0</v>
      </c>
      <c r="K14" s="139">
        <f>I14+J14</f>
        <v>17</v>
      </c>
      <c r="L14" s="282">
        <f>VLOOKUP('Caractéristiques du service'!$B$12,'Base de données '!M3:AE104,19,FALSE)</f>
        <v>2</v>
      </c>
      <c r="M14" s="283"/>
      <c r="N14" s="284"/>
      <c r="O14" s="44"/>
      <c r="P14" s="2"/>
      <c r="Q14" s="2"/>
      <c r="S14" s="264" t="s">
        <v>51</v>
      </c>
      <c r="T14" s="265"/>
      <c r="U14" s="265"/>
      <c r="V14" s="265"/>
      <c r="W14" s="265"/>
      <c r="X14" s="265"/>
      <c r="Y14" s="265"/>
      <c r="Z14" s="266"/>
    </row>
    <row r="15" spans="1:26" ht="24" customHeight="1" x14ac:dyDescent="0.35">
      <c r="A15" s="2"/>
      <c r="B15" s="58" t="s">
        <v>52</v>
      </c>
      <c r="C15" s="93">
        <f>_xlfn.XLOOKUP('Caractéristiques du service'!B15,base_HDJ7[Nombre de lits d''USC],base_HDJ7[Semaine 
Nombre de demi-journées postées par semaine en médecins seniors],0)</f>
        <v>0</v>
      </c>
      <c r="D15" s="33"/>
      <c r="E15" s="60">
        <f t="shared" ref="E15:E22" si="2">C15+D15</f>
        <v>0</v>
      </c>
      <c r="F15" s="99">
        <f>_xlfn.XLOOKUP('Caractéristiques du service'!C15,base_HDJ7[Nombre de lits d''USC],base_HDJ7[Semaine 
Nombre de demi-journées postées par semaine en médecins seniors],0)</f>
        <v>0</v>
      </c>
      <c r="G15" s="33"/>
      <c r="H15" s="56">
        <f t="shared" ref="H15:H22" si="3">F15+G15</f>
        <v>0</v>
      </c>
      <c r="I15" s="61">
        <f>_xlfn.XLOOKUP('Caractéristiques du service'!D15,base_HDJ7[Nombre de lits d''USC],base_HDJ7[Semaine 
Nombre de demi-journées postées par semaine en médecins seniors],0)</f>
        <v>0</v>
      </c>
      <c r="J15" s="33"/>
      <c r="K15" s="65">
        <f>I15+J15</f>
        <v>0</v>
      </c>
      <c r="L15" s="46"/>
      <c r="M15" s="46"/>
      <c r="N15" s="46"/>
      <c r="O15" s="44"/>
      <c r="P15" s="2"/>
      <c r="Q15" s="2"/>
      <c r="S15" s="41"/>
      <c r="T15" s="2"/>
      <c r="U15" s="2"/>
      <c r="V15" s="2"/>
      <c r="W15" s="2"/>
      <c r="X15" s="2"/>
      <c r="Y15" s="2"/>
      <c r="Z15" s="42"/>
    </row>
    <row r="16" spans="1:26" ht="24" customHeight="1" x14ac:dyDescent="0.35">
      <c r="A16" s="2"/>
      <c r="B16" s="58" t="s">
        <v>53</v>
      </c>
      <c r="C16" s="94" cm="1">
        <f t="array" ref="C16">ROUND(_xlfn.XLOOKUP('Caractéristiques du service'!$B$13,base_HDS[Nombre de lits d''HDS],IF('Caractéristiques du service'!$B$28&gt;0,base_HDS[Nb de demi-journées si présences d''internes],base_HDS[Semaine 
Nombre de demi-journées postées par semaine en médecins seniors]),0)
+_xlfn.XLOOKUP('Caractéristiques du service'!B14,base_HDJ[Nombre de places d''HDJ],IF('Caractéristiques du service'!$B$28&gt;0,base_HDJ[Nb de demi-journées si présences d''internes],base_HDJ[Semaine 
Nombre de demi-journées postées par semaine en médecins seniors]),0),0)</f>
        <v>5</v>
      </c>
      <c r="D16" s="33"/>
      <c r="E16" s="60">
        <f t="shared" si="2"/>
        <v>5</v>
      </c>
      <c r="F16" s="100" cm="1">
        <f t="array" ref="F16">ROUND(_xlfn.XLOOKUP('Caractéristiques du service'!C13,base_HDS[Nombre de lits d''HDS],IF('Caractéristiques du service'!$B$28&gt;0,base_HDS[Nb de demi-journées si présences d''internes],base_HDS[Semaine 
Nombre de demi-journées postées par semaine en médecins seniors]),0)+_xlfn.XLOOKUP('Caractéristiques du service'!C14,base_HDJ[Nombre de places d''HDJ],IF('Caractéristiques du service'!$B$28&gt;0,base_HDJ[Nb de demi-journées si présences d''internes],base_HDJ[Semaine 
Nombre de demi-journées postées par semaine en médecins seniors]),0),0)</f>
        <v>0</v>
      </c>
      <c r="G16" s="33"/>
      <c r="H16" s="56">
        <f t="shared" si="3"/>
        <v>0</v>
      </c>
      <c r="I16" s="62" cm="1">
        <f t="array" ref="I16">ROUND(_xlfn.XLOOKUP('Caractéristiques du service'!D13,base_HDS[Nombre de lits d''HDS],IF('Caractéristiques du service'!$B$28&gt;0,base_HDS[Nb de demi-journées si présences d''internes],base_HDS[Semaine 
Nombre de demi-journées postées par semaine en médecins seniors]),0)+_xlfn.XLOOKUP('Caractéristiques du service'!D14,base_HDJ[Nombre de places d''HDJ],IF('Caractéristiques du service'!$B$28&gt;0,base_HDJ[Nb de demi-journées si présences d''internes],base_HDJ[Semaine 
Nombre de demi-journées postées par semaine en médecins seniors]),0),0)</f>
        <v>0</v>
      </c>
      <c r="J16" s="33"/>
      <c r="K16" s="65">
        <f>I16+J16</f>
        <v>0</v>
      </c>
      <c r="L16" s="46"/>
      <c r="M16" s="46"/>
      <c r="N16" s="46"/>
      <c r="O16" s="44"/>
      <c r="P16" s="2"/>
      <c r="Q16" s="2"/>
      <c r="S16" s="264" t="s">
        <v>54</v>
      </c>
      <c r="T16" s="265"/>
      <c r="U16" s="265"/>
      <c r="V16" s="265"/>
      <c r="W16" s="265"/>
      <c r="X16" s="265"/>
      <c r="Y16" s="265"/>
      <c r="Z16" s="266"/>
    </row>
    <row r="17" spans="1:26" ht="24" customHeight="1" x14ac:dyDescent="0.35">
      <c r="A17" s="2"/>
      <c r="B17" s="58" t="s">
        <v>55</v>
      </c>
      <c r="C17" s="93">
        <f>ROUNDUP(_xlfn.XLOOKUP(ROUNDUP('Caractéristiques du service'!B21,0),Tableau4[[Nombre de consultations internes  ]],Tableau4[Nombre de demi journées postées par semaine en médecins séniors],0),0)</f>
        <v>2</v>
      </c>
      <c r="D17" s="33"/>
      <c r="E17" s="60">
        <f t="shared" si="2"/>
        <v>2</v>
      </c>
      <c r="F17" s="99">
        <f>ROUNDUP(_xlfn.XLOOKUP(ROUNDUP('Caractéristiques du service'!C21,0),Tableau4[[Nombre de consultations internes  ]],Tableau4[Nombre de demi journées postées par semaine en médecins séniors],0),0)</f>
        <v>2</v>
      </c>
      <c r="G17" s="33"/>
      <c r="H17" s="56">
        <f t="shared" si="3"/>
        <v>2</v>
      </c>
      <c r="I17" s="62">
        <f>ROUNDUP(_xlfn.XLOOKUP(ROUNDUP('Caractéristiques du service'!D21,0),Tableau4[[Nombre de consultations internes  ]],Tableau4[Nombre de demi journées postées par semaine en médecins séniors],0),0)</f>
        <v>1</v>
      </c>
      <c r="J17" s="33"/>
      <c r="K17" s="64">
        <f>I17+J17</f>
        <v>1</v>
      </c>
      <c r="L17" s="46"/>
      <c r="M17" s="46"/>
      <c r="N17" s="46"/>
      <c r="O17" s="44"/>
      <c r="P17" s="2"/>
      <c r="Q17" s="2"/>
      <c r="S17" s="264" t="s">
        <v>56</v>
      </c>
      <c r="T17" s="265"/>
      <c r="U17" s="265"/>
      <c r="V17" s="265"/>
      <c r="W17" s="265"/>
      <c r="X17" s="265"/>
      <c r="Y17" s="265"/>
      <c r="Z17" s="266"/>
    </row>
    <row r="18" spans="1:26" ht="24" customHeight="1" thickBot="1" x14ac:dyDescent="0.4">
      <c r="A18" s="2"/>
      <c r="B18" s="58" t="s">
        <v>57</v>
      </c>
      <c r="C18" s="93">
        <f>'Caractéristiques du service'!B20</f>
        <v>15</v>
      </c>
      <c r="D18" s="33"/>
      <c r="E18" s="60">
        <f t="shared" si="2"/>
        <v>15</v>
      </c>
      <c r="F18" s="99">
        <f>'Caractéristiques du service'!C20</f>
        <v>8</v>
      </c>
      <c r="G18" s="33"/>
      <c r="H18" s="56">
        <f t="shared" si="3"/>
        <v>8</v>
      </c>
      <c r="I18" s="61">
        <f>'Caractéristiques du service'!D20</f>
        <v>4</v>
      </c>
      <c r="J18" s="33"/>
      <c r="K18" s="64">
        <f>I18</f>
        <v>4</v>
      </c>
      <c r="L18" s="46"/>
      <c r="M18" s="46"/>
      <c r="N18" s="46"/>
      <c r="O18" s="44"/>
      <c r="P18" s="2"/>
      <c r="Q18" s="2"/>
      <c r="S18" s="38"/>
      <c r="T18" s="39"/>
      <c r="U18" s="39"/>
      <c r="V18" s="39"/>
      <c r="W18" s="39"/>
      <c r="X18" s="39"/>
      <c r="Y18" s="39"/>
      <c r="Z18" s="40"/>
    </row>
    <row r="19" spans="1:26" ht="24" customHeight="1" x14ac:dyDescent="0.35">
      <c r="A19" s="2"/>
      <c r="B19" s="58" t="s">
        <v>58</v>
      </c>
      <c r="C19" s="93">
        <f>ROUNDUP('Caractéristiques du service'!B16/5,0)</f>
        <v>1</v>
      </c>
      <c r="D19" s="33"/>
      <c r="E19" s="60">
        <f t="shared" si="2"/>
        <v>1</v>
      </c>
      <c r="F19" s="99">
        <f>ROUNDUP('Caractéristiques du service'!C16/5,0)</f>
        <v>1</v>
      </c>
      <c r="G19" s="33"/>
      <c r="H19" s="56">
        <f t="shared" si="3"/>
        <v>1</v>
      </c>
      <c r="I19" s="61">
        <f>ROUNDUP('Caractéristiques du service'!D16/5,0)</f>
        <v>1</v>
      </c>
      <c r="J19" s="33"/>
      <c r="K19" s="64">
        <f>I19+J19</f>
        <v>1</v>
      </c>
      <c r="L19" s="46"/>
      <c r="M19" s="46"/>
      <c r="N19" s="46"/>
      <c r="O19" s="44"/>
      <c r="P19" s="2"/>
      <c r="Q19" s="2"/>
    </row>
    <row r="20" spans="1:26" ht="24" customHeight="1" x14ac:dyDescent="0.35">
      <c r="A20" s="2"/>
      <c r="B20" s="58" t="s">
        <v>59</v>
      </c>
      <c r="C20" s="93">
        <f>'Caractéristiques du service'!B18</f>
        <v>10</v>
      </c>
      <c r="D20" s="33"/>
      <c r="E20" s="60">
        <f t="shared" si="2"/>
        <v>10</v>
      </c>
      <c r="F20" s="99">
        <f>'Caractéristiques du service'!C18</f>
        <v>10</v>
      </c>
      <c r="G20" s="33"/>
      <c r="H20" s="56">
        <f t="shared" si="3"/>
        <v>10</v>
      </c>
      <c r="I20" s="61">
        <f>'Caractéristiques du service'!D18</f>
        <v>10</v>
      </c>
      <c r="J20" s="33"/>
      <c r="K20" s="64">
        <f>I20+J20</f>
        <v>10</v>
      </c>
      <c r="L20" s="46"/>
      <c r="M20" s="46"/>
      <c r="N20" s="46"/>
      <c r="O20" s="44"/>
      <c r="P20" s="2"/>
      <c r="Q20" s="2"/>
    </row>
    <row r="21" spans="1:26" ht="24" customHeight="1" x14ac:dyDescent="0.35">
      <c r="A21" s="2"/>
      <c r="B21" s="58" t="s">
        <v>60</v>
      </c>
      <c r="C21" s="93">
        <f>'Caractéristiques du service'!B19</f>
        <v>10</v>
      </c>
      <c r="D21" s="33"/>
      <c r="E21" s="60">
        <f t="shared" si="2"/>
        <v>10</v>
      </c>
      <c r="F21" s="99">
        <f>'Caractéristiques du service'!C19</f>
        <v>6</v>
      </c>
      <c r="G21" s="33"/>
      <c r="H21" s="56">
        <f t="shared" si="3"/>
        <v>6</v>
      </c>
      <c r="I21" s="61">
        <f>'Caractéristiques du service'!D19</f>
        <v>4</v>
      </c>
      <c r="J21" s="33"/>
      <c r="K21" s="64">
        <f>I21+J21</f>
        <v>4</v>
      </c>
      <c r="L21" s="46"/>
      <c r="M21" s="46"/>
      <c r="N21" s="46"/>
      <c r="O21" s="44"/>
      <c r="P21" s="2"/>
      <c r="Q21" s="2"/>
    </row>
    <row r="22" spans="1:26" ht="24" customHeight="1" x14ac:dyDescent="0.35">
      <c r="A22" s="2"/>
      <c r="B22" s="59" t="s">
        <v>61</v>
      </c>
      <c r="C22" s="95">
        <f>ROUNDUP('Caractéristiques du service'!B17/5,0)</f>
        <v>9</v>
      </c>
      <c r="D22" s="33"/>
      <c r="E22" s="89">
        <f t="shared" si="2"/>
        <v>9</v>
      </c>
      <c r="F22" s="101">
        <f>ROUNDUP('Caractéristiques du service'!C17/5,0)</f>
        <v>6</v>
      </c>
      <c r="G22" s="33"/>
      <c r="H22" s="87">
        <f t="shared" si="3"/>
        <v>6</v>
      </c>
      <c r="I22" s="103">
        <f>ROUNDUP('Caractéristiques du service'!D17/5,0)</f>
        <v>4</v>
      </c>
      <c r="J22" s="33"/>
      <c r="K22" s="85">
        <f>I22+J22</f>
        <v>4</v>
      </c>
      <c r="L22" s="46"/>
      <c r="M22" s="46"/>
      <c r="N22" s="46"/>
      <c r="O22" s="44"/>
      <c r="P22" s="2"/>
      <c r="Q22" s="2"/>
    </row>
    <row r="23" spans="1:26" ht="22.25" customHeight="1" x14ac:dyDescent="0.35">
      <c r="A23" s="2"/>
      <c r="B23" s="91" t="s">
        <v>66</v>
      </c>
      <c r="C23" s="96">
        <f>SUM(C14:C22)</f>
        <v>75</v>
      </c>
      <c r="D23" s="97">
        <f>SUM(D14:D22)</f>
        <v>0</v>
      </c>
      <c r="E23" s="97">
        <f>C23+D23</f>
        <v>75</v>
      </c>
      <c r="F23" s="96">
        <f>SUM(F14:F22)</f>
        <v>56</v>
      </c>
      <c r="G23" s="97">
        <f>SUM(G14:G22)</f>
        <v>0</v>
      </c>
      <c r="H23" s="97">
        <f>F23+G23</f>
        <v>56</v>
      </c>
      <c r="I23" s="96">
        <f>SUM(I14:I22)</f>
        <v>41</v>
      </c>
      <c r="J23" s="97">
        <f>SUM(J14:J22)</f>
        <v>0</v>
      </c>
      <c r="K23" s="97">
        <f>I23+J23</f>
        <v>41</v>
      </c>
      <c r="L23" s="285">
        <f>L14</f>
        <v>2</v>
      </c>
      <c r="M23" s="286"/>
      <c r="N23" s="287"/>
      <c r="O23" s="44"/>
      <c r="P23" s="2"/>
      <c r="Q23" s="2"/>
    </row>
    <row r="24" spans="1:26" ht="22.25" customHeight="1" x14ac:dyDescent="0.35">
      <c r="A24" s="2"/>
      <c r="B24" s="2"/>
      <c r="C24" s="2"/>
      <c r="D24" s="2"/>
      <c r="E24" s="2"/>
      <c r="F24" s="2"/>
      <c r="G24" s="2"/>
      <c r="H24" s="2"/>
      <c r="I24" s="2"/>
      <c r="J24" s="2"/>
      <c r="K24" s="2"/>
      <c r="L24" s="2"/>
      <c r="M24" s="2"/>
      <c r="N24" s="2"/>
      <c r="O24" s="2"/>
      <c r="P24" s="2"/>
      <c r="Q24" s="2"/>
    </row>
    <row r="25" spans="1:26" ht="32.75" customHeight="1" x14ac:dyDescent="0.35">
      <c r="A25" s="2"/>
      <c r="B25" s="224" t="s">
        <v>134</v>
      </c>
      <c r="C25" s="224"/>
      <c r="D25" s="224"/>
      <c r="E25" s="224"/>
      <c r="F25" s="224"/>
      <c r="G25" s="224"/>
      <c r="H25" s="224"/>
      <c r="I25" s="224"/>
      <c r="J25" s="224"/>
      <c r="K25" s="224"/>
      <c r="L25" s="210" t="s">
        <v>63</v>
      </c>
      <c r="M25" s="133" cm="1">
        <f t="array" ref="M25">((SUM((E23)*'Caractéristiques du service'!B23,(H23)*'Caractéristiques du service'!B24,(K23)*'Caractéristiques du service'!B25,'Résultats USIC temps continu'!L23*52,(IF(SUM('Caractéristiques du service'!$B$11:$D$15)=0,0,'Base de données '!AV4)))/'Base de données '!AV11)+((SUM(E13*'Caractéristiques du service'!B23,'Résultats USIC temps continu'!H13*'Caractéristiques du service'!B24,'Résultats USIC temps continu'!K13*'Caractéristiques du service'!B25,'Résultats USIC temps continu'!L13:N13*52))/'Base de données '!AW11)-0.5*'Caractéristiques du service'!B28)</f>
        <v>11.998370583198053</v>
      </c>
      <c r="N25" s="134" t="s">
        <v>64</v>
      </c>
      <c r="O25" s="44"/>
      <c r="P25" s="225">
        <f>SUM(M25:M27)</f>
        <v>15.164419706159585</v>
      </c>
      <c r="Q25" s="227" t="s">
        <v>64</v>
      </c>
    </row>
    <row r="26" spans="1:26" ht="32.75" customHeight="1" x14ac:dyDescent="0.35">
      <c r="A26" s="2"/>
      <c r="B26" s="203" t="s">
        <v>139</v>
      </c>
      <c r="C26" s="203"/>
      <c r="D26" s="203"/>
      <c r="E26" s="203"/>
      <c r="F26" s="203"/>
      <c r="G26" s="203"/>
      <c r="H26" s="203"/>
      <c r="I26" s="203"/>
      <c r="J26" s="203"/>
      <c r="K26" s="203"/>
      <c r="L26" s="210"/>
      <c r="M26" s="55" cm="1">
        <f t="array" ref="M26">((((SUM((E23)*'Caractéristiques du service'!B23,(H23)*'Caractéristiques du service'!B24,(K23)*'Caractéristiques du service'!B25,'Résultats USIC temps continu'!L23*52,(IF(SUM('Caractéristiques du service'!$B$11:$D$15)=0,0,'Base de données '!AV4))))/'Base de données '!AV8)+((SUM(E13*'Caractéristiques du service'!B23,'Résultats USIC temps continu'!H13*'Caractéristiques du service'!B24,'Résultats USIC temps continu'!K13*'Caractéristiques du service'!B25,'Résultats USIC temps continu'!L13:N13*52))/'Base de données '!AW8)-0.5*'Caractéristiques du service'!B28)-M25)-M27</f>
        <v>0.9005140093070132</v>
      </c>
      <c r="N26" s="29" t="s">
        <v>64</v>
      </c>
      <c r="O26" s="44"/>
      <c r="P26" s="226"/>
      <c r="Q26" s="228"/>
    </row>
    <row r="27" spans="1:26" ht="32.75" customHeight="1" x14ac:dyDescent="0.35">
      <c r="A27" s="2"/>
      <c r="B27" s="203" t="s">
        <v>138</v>
      </c>
      <c r="C27" s="203"/>
      <c r="D27" s="203"/>
      <c r="E27" s="203"/>
      <c r="F27" s="203"/>
      <c r="G27" s="203"/>
      <c r="H27" s="203"/>
      <c r="I27" s="203"/>
      <c r="J27" s="203"/>
      <c r="K27" s="203"/>
      <c r="L27" s="210"/>
      <c r="M27" s="55" cm="1">
        <f t="array" ref="M27">(((SUM((E23)*'Caractéristiques du service'!B23,(H23)*'Caractéristiques du service'!B24,(K23)*'Caractéristiques du service'!B25,'Résultats USIC temps continu'!L23*52,(IF(SUM('Caractéristiques du service'!$B$11:$D$15)=0,0,'Base de données '!AV4))))/'Base de données '!AV14)+((SUM(E13*'Caractéristiques du service'!B23,'Résultats USIC temps continu'!H13*'Caractéristiques du service'!B24,'Résultats USIC temps continu'!K13*'Caractéristiques du service'!B25,'Résultats USIC temps continu'!L13:N13*52))/'Base de données '!AW8)-0.5*'Caractéristiques du service'!B28)-M25</f>
        <v>2.2655351136545185</v>
      </c>
      <c r="N27" s="29" t="s">
        <v>64</v>
      </c>
      <c r="O27" s="44"/>
      <c r="P27" s="226"/>
      <c r="Q27" s="228"/>
    </row>
    <row r="28" spans="1:26" ht="32" customHeight="1" x14ac:dyDescent="0.35"/>
    <row r="29" spans="1:26" ht="14.75" customHeight="1" x14ac:dyDescent="0.35"/>
  </sheetData>
  <sheetProtection algorithmName="SHA-512" hashValue="EwG8bEZJNMXzydX4qwjzHUupVH51GycAn2yfGE6AELjysMK4HQp/epsI36+BVJsJEHVirD7ZyAbLPGvJDIJ/jw==" saltValue="wCh+fT5T4hvGRBWIDtsQMA==" spinCount="100000" sheet="1" objects="1" scenarios="1"/>
  <mergeCells count="25">
    <mergeCell ref="P25:P27"/>
    <mergeCell ref="Q25:Q27"/>
    <mergeCell ref="B6:N7"/>
    <mergeCell ref="B27:K27"/>
    <mergeCell ref="A1:Q3"/>
    <mergeCell ref="L23:N23"/>
    <mergeCell ref="B25:K25"/>
    <mergeCell ref="L25:L27"/>
    <mergeCell ref="B8:N8"/>
    <mergeCell ref="B9:B12"/>
    <mergeCell ref="C9:K9"/>
    <mergeCell ref="L9:N9"/>
    <mergeCell ref="B26:K26"/>
    <mergeCell ref="S16:Z16"/>
    <mergeCell ref="S17:Z17"/>
    <mergeCell ref="C10:E11"/>
    <mergeCell ref="F10:H11"/>
    <mergeCell ref="I10:K11"/>
    <mergeCell ref="L10:N11"/>
    <mergeCell ref="S10:Z12"/>
    <mergeCell ref="L12:N12"/>
    <mergeCell ref="L13:N13"/>
    <mergeCell ref="S13:Z13"/>
    <mergeCell ref="L14:N14"/>
    <mergeCell ref="S14:Z14"/>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4BEC4-E5F0-4615-A42B-C28C6FA8E6A3}">
  <sheetPr>
    <tabColor theme="3" tint="0.79998168889431442"/>
  </sheetPr>
  <dimension ref="A1:AW108"/>
  <sheetViews>
    <sheetView topLeftCell="AF1" zoomScale="55" zoomScaleNormal="55" workbookViewId="0">
      <selection activeCell="AI22" sqref="AI22"/>
    </sheetView>
  </sheetViews>
  <sheetFormatPr baseColWidth="10" defaultColWidth="11" defaultRowHeight="14.5" x14ac:dyDescent="0.35"/>
  <cols>
    <col min="2" max="2" width="13.58203125" customWidth="1"/>
    <col min="3" max="3" width="24.6640625" customWidth="1"/>
    <col min="4" max="4" width="34.1640625" customWidth="1"/>
    <col min="5" max="9" width="17" customWidth="1"/>
    <col min="10" max="11" width="34.1640625" customWidth="1"/>
    <col min="13" max="13" width="30.6640625" customWidth="1"/>
    <col min="14" max="14" width="40.6640625" customWidth="1"/>
    <col min="15" max="29" width="12.58203125" customWidth="1"/>
    <col min="30" max="31" width="40.6640625" customWidth="1"/>
    <col min="33" max="33" width="14.6640625" customWidth="1"/>
    <col min="34" max="34" width="54.08203125" customWidth="1"/>
    <col min="36" max="36" width="22.6640625" customWidth="1"/>
    <col min="37" max="37" width="29.58203125" customWidth="1"/>
    <col min="38" max="38" width="15.58203125" customWidth="1"/>
    <col min="40" max="40" width="25.6640625" customWidth="1"/>
    <col min="41" max="41" width="39.1640625" customWidth="1"/>
    <col min="42" max="42" width="15.58203125" customWidth="1"/>
    <col min="44" max="44" width="22.1640625" customWidth="1"/>
    <col min="45" max="45" width="44.5" customWidth="1"/>
    <col min="47" max="47" width="78.08203125" customWidth="1"/>
    <col min="48" max="48" width="22" customWidth="1"/>
    <col min="49" max="50" width="16.58203125" customWidth="1"/>
  </cols>
  <sheetData>
    <row r="1" spans="1:49" x14ac:dyDescent="0.35">
      <c r="A1" s="45"/>
    </row>
    <row r="2" spans="1:49" x14ac:dyDescent="0.35">
      <c r="B2" s="19" t="s">
        <v>67</v>
      </c>
      <c r="M2" s="19" t="s">
        <v>68</v>
      </c>
      <c r="AG2" s="19" t="s">
        <v>52</v>
      </c>
      <c r="AJ2" s="19" t="s">
        <v>69</v>
      </c>
      <c r="AN2" s="19" t="s">
        <v>70</v>
      </c>
      <c r="AR2" s="24" t="s">
        <v>71</v>
      </c>
      <c r="AU2" s="19" t="s">
        <v>72</v>
      </c>
    </row>
    <row r="3" spans="1:49" ht="86" customHeight="1" x14ac:dyDescent="0.35">
      <c r="B3" s="17" t="s">
        <v>73</v>
      </c>
      <c r="C3" s="17" t="s">
        <v>74</v>
      </c>
      <c r="D3" s="18" t="s">
        <v>75</v>
      </c>
      <c r="E3" s="18" t="s">
        <v>76</v>
      </c>
      <c r="F3" s="18" t="s">
        <v>77</v>
      </c>
      <c r="G3" s="18" t="s">
        <v>78</v>
      </c>
      <c r="H3" s="18" t="s">
        <v>79</v>
      </c>
      <c r="I3" s="18" t="s">
        <v>80</v>
      </c>
      <c r="J3" s="18" t="s">
        <v>81</v>
      </c>
      <c r="K3" s="18" t="s">
        <v>82</v>
      </c>
      <c r="M3" s="17" t="s">
        <v>83</v>
      </c>
      <c r="N3" s="18" t="s">
        <v>75</v>
      </c>
      <c r="O3" s="18" t="s">
        <v>84</v>
      </c>
      <c r="P3" s="18" t="s">
        <v>77</v>
      </c>
      <c r="Q3" s="18" t="s">
        <v>78</v>
      </c>
      <c r="R3" s="18" t="s">
        <v>79</v>
      </c>
      <c r="S3" s="18" t="s">
        <v>80</v>
      </c>
      <c r="T3" s="18" t="s">
        <v>85</v>
      </c>
      <c r="U3" s="18" t="s">
        <v>86</v>
      </c>
      <c r="V3" s="18" t="s">
        <v>87</v>
      </c>
      <c r="W3" s="18" t="s">
        <v>88</v>
      </c>
      <c r="X3" s="18" t="s">
        <v>89</v>
      </c>
      <c r="Y3" s="18" t="s">
        <v>90</v>
      </c>
      <c r="Z3" s="18" t="s">
        <v>91</v>
      </c>
      <c r="AA3" s="18" t="s">
        <v>92</v>
      </c>
      <c r="AB3" s="18" t="s">
        <v>93</v>
      </c>
      <c r="AC3" s="18" t="s">
        <v>94</v>
      </c>
      <c r="AD3" s="18" t="s">
        <v>81</v>
      </c>
      <c r="AE3" s="18" t="s">
        <v>82</v>
      </c>
      <c r="AG3" s="18" t="s">
        <v>95</v>
      </c>
      <c r="AH3" s="18" t="s">
        <v>75</v>
      </c>
      <c r="AJ3" s="18" t="s">
        <v>96</v>
      </c>
      <c r="AK3" s="18" t="s">
        <v>75</v>
      </c>
      <c r="AL3" s="17" t="s">
        <v>145</v>
      </c>
      <c r="AN3" s="18" t="s">
        <v>97</v>
      </c>
      <c r="AO3" s="18" t="s">
        <v>75</v>
      </c>
      <c r="AP3" s="17" t="s">
        <v>145</v>
      </c>
      <c r="AR3" s="26" t="s">
        <v>98</v>
      </c>
      <c r="AS3" s="18" t="s">
        <v>99</v>
      </c>
      <c r="AT3" s="20"/>
      <c r="AU3" s="47" t="s">
        <v>100</v>
      </c>
      <c r="AV3" s="47" t="s">
        <v>101</v>
      </c>
      <c r="AW3" s="18" t="s">
        <v>102</v>
      </c>
    </row>
    <row r="4" spans="1:49" ht="15.5" x14ac:dyDescent="0.35">
      <c r="B4">
        <v>1</v>
      </c>
      <c r="C4" s="140">
        <v>0</v>
      </c>
      <c r="D4" s="16">
        <v>0</v>
      </c>
      <c r="E4" s="16">
        <v>0</v>
      </c>
      <c r="F4" s="16">
        <v>0</v>
      </c>
      <c r="G4" s="16">
        <v>0</v>
      </c>
      <c r="H4" s="16">
        <v>0</v>
      </c>
      <c r="I4" s="16">
        <v>0</v>
      </c>
      <c r="J4" s="16">
        <v>0</v>
      </c>
      <c r="K4" s="16">
        <v>0</v>
      </c>
      <c r="M4">
        <v>0</v>
      </c>
      <c r="N4" s="16">
        <v>0</v>
      </c>
      <c r="O4" s="16">
        <v>0</v>
      </c>
      <c r="P4" s="16">
        <v>0</v>
      </c>
      <c r="Q4" s="16">
        <v>0</v>
      </c>
      <c r="R4" s="16">
        <v>0</v>
      </c>
      <c r="S4" s="16">
        <v>0</v>
      </c>
      <c r="T4" s="16">
        <v>0</v>
      </c>
      <c r="U4" s="16">
        <v>0</v>
      </c>
      <c r="V4" s="16">
        <v>0</v>
      </c>
      <c r="W4" s="16">
        <v>0</v>
      </c>
      <c r="X4" s="16">
        <v>0</v>
      </c>
      <c r="Y4" s="16">
        <v>0</v>
      </c>
      <c r="Z4" s="16">
        <v>0</v>
      </c>
      <c r="AA4" s="16">
        <v>0</v>
      </c>
      <c r="AB4" s="16">
        <v>0</v>
      </c>
      <c r="AC4" s="16">
        <v>0</v>
      </c>
      <c r="AD4" s="16">
        <v>0</v>
      </c>
      <c r="AE4" s="16">
        <v>0</v>
      </c>
      <c r="AG4">
        <v>1</v>
      </c>
      <c r="AH4" s="43">
        <v>5</v>
      </c>
      <c r="AJ4">
        <v>1</v>
      </c>
      <c r="AK4" s="28">
        <v>10</v>
      </c>
      <c r="AL4" s="28">
        <f>base_HDJ[[#This Row],[Semaine 
Nombre de demi-journées postées par semaine en médecins seniors]]-5</f>
        <v>5</v>
      </c>
      <c r="AN4">
        <v>1</v>
      </c>
      <c r="AO4" s="28">
        <v>10</v>
      </c>
      <c r="AP4" s="28">
        <f>base_HDS[[#This Row],[Semaine 
Nombre de demi-journées postées par semaine en médecins seniors]]-5</f>
        <v>5</v>
      </c>
      <c r="AR4">
        <v>0</v>
      </c>
      <c r="AS4" s="27">
        <f>ROUNDUP(Tableau4[[#This Row],[Nombre de consultations internes  ]]/30,0)</f>
        <v>0</v>
      </c>
      <c r="AU4" s="48" t="s">
        <v>105</v>
      </c>
      <c r="AV4" s="49">
        <v>52</v>
      </c>
      <c r="AW4" s="50">
        <f>5*AV4</f>
        <v>260</v>
      </c>
    </row>
    <row r="5" spans="1:49" ht="15.5" x14ac:dyDescent="0.35">
      <c r="B5">
        <v>2</v>
      </c>
      <c r="C5" s="140">
        <v>6</v>
      </c>
      <c r="D5" s="16">
        <v>11</v>
      </c>
      <c r="E5" s="16">
        <v>11</v>
      </c>
      <c r="F5" s="16">
        <v>11</v>
      </c>
      <c r="G5" s="16">
        <v>11</v>
      </c>
      <c r="H5" s="16">
        <v>11</v>
      </c>
      <c r="I5" s="16">
        <v>11</v>
      </c>
      <c r="J5" s="16">
        <v>10</v>
      </c>
      <c r="K5" s="16">
        <v>7</v>
      </c>
      <c r="M5">
        <v>1</v>
      </c>
      <c r="N5" s="16">
        <v>11</v>
      </c>
      <c r="O5" s="16">
        <v>11</v>
      </c>
      <c r="P5" s="16">
        <v>11</v>
      </c>
      <c r="Q5" s="16">
        <v>11</v>
      </c>
      <c r="R5" s="16">
        <v>11</v>
      </c>
      <c r="S5" s="16">
        <v>11</v>
      </c>
      <c r="T5" s="16">
        <v>11</v>
      </c>
      <c r="U5" s="16">
        <v>11</v>
      </c>
      <c r="V5" s="16">
        <v>11</v>
      </c>
      <c r="W5" s="16">
        <v>11</v>
      </c>
      <c r="X5" s="16">
        <v>11</v>
      </c>
      <c r="Y5" s="16">
        <v>11</v>
      </c>
      <c r="Z5" s="16">
        <v>11</v>
      </c>
      <c r="AA5" s="16">
        <v>11</v>
      </c>
      <c r="AB5" s="16">
        <v>11</v>
      </c>
      <c r="AC5" s="16">
        <v>11</v>
      </c>
      <c r="AD5" s="16">
        <v>0</v>
      </c>
      <c r="AE5" s="16">
        <v>1</v>
      </c>
      <c r="AG5">
        <v>2</v>
      </c>
      <c r="AH5" s="43">
        <v>5</v>
      </c>
      <c r="AJ5">
        <v>2</v>
      </c>
      <c r="AK5" s="28">
        <v>10</v>
      </c>
      <c r="AL5" s="28">
        <f>base_HDJ[[#This Row],[Semaine 
Nombre de demi-journées postées par semaine en médecins seniors]]-5</f>
        <v>5</v>
      </c>
      <c r="AN5">
        <v>2</v>
      </c>
      <c r="AO5" s="28">
        <v>10</v>
      </c>
      <c r="AP5" s="28">
        <f>base_HDS[[#This Row],[Semaine 
Nombre de demi-journées postées par semaine en médecins seniors]]-5</f>
        <v>5</v>
      </c>
      <c r="AR5">
        <v>1</v>
      </c>
      <c r="AS5" s="27">
        <f>ROUNDUP(Tableau4[[#This Row],[Nombre de consultations internes  ]]/30,0)</f>
        <v>1</v>
      </c>
      <c r="AU5" s="51" t="s">
        <v>126</v>
      </c>
      <c r="AV5" s="52">
        <f>NbRTT+NbFormation</f>
        <v>35</v>
      </c>
      <c r="AW5" s="53">
        <f>AV5*5.15</f>
        <v>180.25</v>
      </c>
    </row>
    <row r="6" spans="1:49" ht="15.5" x14ac:dyDescent="0.35">
      <c r="B6">
        <v>3</v>
      </c>
      <c r="C6" s="140">
        <v>8</v>
      </c>
      <c r="D6" s="16">
        <v>11</v>
      </c>
      <c r="E6" s="16">
        <v>11</v>
      </c>
      <c r="F6" s="16">
        <v>11</v>
      </c>
      <c r="G6" s="16">
        <v>11</v>
      </c>
      <c r="H6" s="16">
        <v>11</v>
      </c>
      <c r="I6" s="16">
        <v>11</v>
      </c>
      <c r="J6" s="16">
        <v>10</v>
      </c>
      <c r="K6" s="16">
        <v>7</v>
      </c>
      <c r="M6">
        <v>2</v>
      </c>
      <c r="N6" s="16">
        <v>11</v>
      </c>
      <c r="O6" s="16">
        <v>11</v>
      </c>
      <c r="P6" s="16">
        <v>11</v>
      </c>
      <c r="Q6" s="16">
        <v>11</v>
      </c>
      <c r="R6" s="16">
        <v>11</v>
      </c>
      <c r="S6" s="16">
        <v>11</v>
      </c>
      <c r="T6" s="16">
        <v>11</v>
      </c>
      <c r="U6" s="16">
        <v>11</v>
      </c>
      <c r="V6" s="16">
        <v>11</v>
      </c>
      <c r="W6" s="16">
        <v>11</v>
      </c>
      <c r="X6" s="16">
        <v>11</v>
      </c>
      <c r="Y6" s="16">
        <v>11</v>
      </c>
      <c r="Z6" s="16">
        <v>11</v>
      </c>
      <c r="AA6" s="16">
        <v>11</v>
      </c>
      <c r="AB6" s="16">
        <v>11</v>
      </c>
      <c r="AC6" s="16">
        <v>11</v>
      </c>
      <c r="AD6" s="16">
        <v>0</v>
      </c>
      <c r="AE6" s="16">
        <v>1</v>
      </c>
      <c r="AG6">
        <v>3</v>
      </c>
      <c r="AH6" s="43">
        <v>5</v>
      </c>
      <c r="AJ6">
        <v>3</v>
      </c>
      <c r="AK6" s="28">
        <v>10</v>
      </c>
      <c r="AL6" s="28">
        <f>base_HDJ[[#This Row],[Semaine 
Nombre de demi-journées postées par semaine en médecins seniors]]-5</f>
        <v>5</v>
      </c>
      <c r="AN6">
        <v>3</v>
      </c>
      <c r="AO6" s="28">
        <v>10</v>
      </c>
      <c r="AP6" s="28">
        <f>base_HDS[[#This Row],[Semaine 
Nombre de demi-journées postées par semaine en médecins seniors]]-5</f>
        <v>5</v>
      </c>
      <c r="AR6">
        <v>2</v>
      </c>
      <c r="AS6" s="27">
        <f>ROUNDUP(Tableau4[[#This Row],[Nombre de consultations internes  ]]/30,0)</f>
        <v>1</v>
      </c>
      <c r="AU6" s="104" t="s">
        <v>127</v>
      </c>
      <c r="AV6" s="105">
        <f>(365-SUM(Référentiel!C17:C19)-NbRTT-NbFormation+NbSolidarite)*2</f>
        <v>386</v>
      </c>
      <c r="AW6" s="106">
        <f>AV6*5.15</f>
        <v>1987.9</v>
      </c>
    </row>
    <row r="7" spans="1:49" ht="15.65" customHeight="1" x14ac:dyDescent="0.35">
      <c r="B7">
        <v>4</v>
      </c>
      <c r="C7" s="140">
        <v>10</v>
      </c>
      <c r="D7" s="16">
        <v>22</v>
      </c>
      <c r="E7" s="16">
        <v>17</v>
      </c>
      <c r="F7" s="16">
        <v>17</v>
      </c>
      <c r="G7" s="16">
        <v>17</v>
      </c>
      <c r="H7" s="16">
        <v>17</v>
      </c>
      <c r="I7" s="16">
        <v>17</v>
      </c>
      <c r="J7" s="16">
        <v>10</v>
      </c>
      <c r="K7" s="16">
        <v>7</v>
      </c>
      <c r="M7">
        <v>3</v>
      </c>
      <c r="N7" s="16">
        <v>11</v>
      </c>
      <c r="O7" s="16">
        <v>11</v>
      </c>
      <c r="P7" s="16">
        <v>11</v>
      </c>
      <c r="Q7" s="16">
        <v>11</v>
      </c>
      <c r="R7" s="16">
        <v>11</v>
      </c>
      <c r="S7" s="16">
        <v>11</v>
      </c>
      <c r="T7" s="16">
        <v>11</v>
      </c>
      <c r="U7" s="16">
        <v>11</v>
      </c>
      <c r="V7" s="16">
        <v>11</v>
      </c>
      <c r="W7" s="16">
        <v>11</v>
      </c>
      <c r="X7" s="16">
        <v>11</v>
      </c>
      <c r="Y7" s="16">
        <v>11</v>
      </c>
      <c r="Z7" s="16">
        <v>11</v>
      </c>
      <c r="AA7" s="16">
        <v>11</v>
      </c>
      <c r="AB7" s="16">
        <v>11</v>
      </c>
      <c r="AC7" s="16">
        <v>11</v>
      </c>
      <c r="AD7" s="16">
        <v>0</v>
      </c>
      <c r="AE7" s="16">
        <v>1</v>
      </c>
      <c r="AG7">
        <v>4</v>
      </c>
      <c r="AH7" s="43">
        <v>5</v>
      </c>
      <c r="AJ7">
        <v>4</v>
      </c>
      <c r="AK7" s="28">
        <v>10</v>
      </c>
      <c r="AL7" s="28">
        <f>base_HDJ[[#This Row],[Semaine 
Nombre de demi-journées postées par semaine en médecins seniors]]-5</f>
        <v>5</v>
      </c>
      <c r="AN7">
        <v>4</v>
      </c>
      <c r="AO7" s="28">
        <v>10</v>
      </c>
      <c r="AP7" s="28">
        <f>base_HDS[[#This Row],[Semaine 
Nombre de demi-journées postées par semaine en médecins seniors]]-5</f>
        <v>5</v>
      </c>
      <c r="AR7">
        <v>3</v>
      </c>
      <c r="AS7" s="27">
        <f>ROUNDUP(Tableau4[[#This Row],[Nombre de consultations internes  ]]/30,0)</f>
        <v>1</v>
      </c>
      <c r="AU7" s="107" t="s">
        <v>103</v>
      </c>
      <c r="AV7" s="108">
        <f>AV6*(1-Référentiel!C21)</f>
        <v>375.19200000000001</v>
      </c>
      <c r="AW7" s="109">
        <f>AW6*(1-Référentiel!C21)</f>
        <v>1932.2388000000001</v>
      </c>
    </row>
    <row r="8" spans="1:49" ht="15.5" x14ac:dyDescent="0.35">
      <c r="B8">
        <v>5</v>
      </c>
      <c r="C8" s="140">
        <v>12</v>
      </c>
      <c r="D8" s="16">
        <v>22</v>
      </c>
      <c r="E8" s="16">
        <v>17</v>
      </c>
      <c r="F8" s="16">
        <v>17</v>
      </c>
      <c r="G8" s="16">
        <v>17</v>
      </c>
      <c r="H8" s="16">
        <v>17</v>
      </c>
      <c r="I8" s="16">
        <v>17</v>
      </c>
      <c r="J8" s="16">
        <v>10</v>
      </c>
      <c r="K8" s="16">
        <v>7</v>
      </c>
      <c r="M8">
        <v>4</v>
      </c>
      <c r="N8" s="16">
        <v>11</v>
      </c>
      <c r="O8" s="16">
        <v>11</v>
      </c>
      <c r="P8" s="16">
        <v>11</v>
      </c>
      <c r="Q8" s="16">
        <v>11</v>
      </c>
      <c r="R8" s="16">
        <v>11</v>
      </c>
      <c r="S8" s="16">
        <v>11</v>
      </c>
      <c r="T8" s="16">
        <v>11</v>
      </c>
      <c r="U8" s="16">
        <v>11</v>
      </c>
      <c r="V8" s="16">
        <v>11</v>
      </c>
      <c r="W8" s="16">
        <v>11</v>
      </c>
      <c r="X8" s="16">
        <v>11</v>
      </c>
      <c r="Y8" s="16">
        <v>11</v>
      </c>
      <c r="Z8" s="16">
        <v>11</v>
      </c>
      <c r="AA8" s="16">
        <v>11</v>
      </c>
      <c r="AB8" s="16">
        <v>11</v>
      </c>
      <c r="AC8" s="16">
        <v>11</v>
      </c>
      <c r="AD8" s="16">
        <v>0</v>
      </c>
      <c r="AE8" s="16">
        <v>1</v>
      </c>
      <c r="AG8">
        <v>5</v>
      </c>
      <c r="AH8" s="43">
        <v>5</v>
      </c>
      <c r="AJ8">
        <v>5</v>
      </c>
      <c r="AK8" s="28">
        <v>10</v>
      </c>
      <c r="AL8" s="28">
        <f>base_HDJ[[#This Row],[Semaine 
Nombre de demi-journées postées par semaine en médecins seniors]]-5</f>
        <v>5</v>
      </c>
      <c r="AN8">
        <v>5</v>
      </c>
      <c r="AO8" s="28">
        <v>10</v>
      </c>
      <c r="AP8" s="28">
        <f>base_HDS[[#This Row],[Semaine 
Nombre de demi-journées postées par semaine en médecins seniors]]-5</f>
        <v>5</v>
      </c>
      <c r="AR8">
        <v>4</v>
      </c>
      <c r="AS8" s="27">
        <f>ROUNDUP(Tableau4[[#This Row],[Nombre de consultations internes  ]]/30,0)</f>
        <v>1</v>
      </c>
      <c r="AU8" s="110" t="s">
        <v>104</v>
      </c>
      <c r="AV8" s="111">
        <f>AV7-Référentiel!C22*43</f>
        <v>332.19200000000001</v>
      </c>
      <c r="AW8" s="112">
        <f>AW7-5*43</f>
        <v>1717.2388000000001</v>
      </c>
    </row>
    <row r="9" spans="1:49" ht="15.5" x14ac:dyDescent="0.35">
      <c r="B9">
        <v>6</v>
      </c>
      <c r="C9" s="140">
        <v>14</v>
      </c>
      <c r="D9" s="16">
        <v>22</v>
      </c>
      <c r="E9" s="16">
        <v>17</v>
      </c>
      <c r="F9" s="16">
        <v>17</v>
      </c>
      <c r="G9" s="16">
        <v>17</v>
      </c>
      <c r="H9" s="16">
        <v>17</v>
      </c>
      <c r="I9" s="16">
        <v>17</v>
      </c>
      <c r="J9" s="16">
        <v>10</v>
      </c>
      <c r="K9" s="16">
        <v>7</v>
      </c>
      <c r="M9">
        <v>5</v>
      </c>
      <c r="N9" s="16">
        <v>11</v>
      </c>
      <c r="O9" s="16">
        <v>11</v>
      </c>
      <c r="P9" s="16">
        <v>11</v>
      </c>
      <c r="Q9" s="16">
        <v>11</v>
      </c>
      <c r="R9" s="16">
        <v>11</v>
      </c>
      <c r="S9" s="16">
        <v>11</v>
      </c>
      <c r="T9" s="16">
        <v>11</v>
      </c>
      <c r="U9" s="16">
        <v>11</v>
      </c>
      <c r="V9" s="16">
        <v>11</v>
      </c>
      <c r="W9" s="16">
        <v>11</v>
      </c>
      <c r="X9" s="16">
        <v>11</v>
      </c>
      <c r="Y9" s="16">
        <v>11</v>
      </c>
      <c r="Z9" s="16">
        <v>11</v>
      </c>
      <c r="AA9" s="16">
        <v>11</v>
      </c>
      <c r="AB9" s="16">
        <v>11</v>
      </c>
      <c r="AC9" s="16">
        <v>11</v>
      </c>
      <c r="AD9" s="16">
        <v>0</v>
      </c>
      <c r="AE9" s="16">
        <v>1</v>
      </c>
      <c r="AG9">
        <v>6</v>
      </c>
      <c r="AH9" s="43">
        <v>11</v>
      </c>
      <c r="AJ9">
        <v>6</v>
      </c>
      <c r="AK9" s="28">
        <v>10</v>
      </c>
      <c r="AL9" s="28">
        <f>base_HDJ[[#This Row],[Semaine 
Nombre de demi-journées postées par semaine en médecins seniors]]-5</f>
        <v>5</v>
      </c>
      <c r="AN9">
        <v>6</v>
      </c>
      <c r="AO9" s="28">
        <v>10</v>
      </c>
      <c r="AP9" s="28">
        <f>base_HDS[[#This Row],[Semaine 
Nombre de demi-journées postées par semaine en médecins seniors]]-5</f>
        <v>5</v>
      </c>
      <c r="AR9">
        <v>5</v>
      </c>
      <c r="AS9" s="27">
        <f>ROUNDUP(Tableau4[[#This Row],[Nombre de consultations internes  ]]/30,0)</f>
        <v>1</v>
      </c>
      <c r="AU9" s="113" t="s">
        <v>125</v>
      </c>
      <c r="AV9" s="114">
        <f>(365-SUM(Référentiel!C17:C19)+NbSolidarite)*2</f>
        <v>456</v>
      </c>
      <c r="AW9" s="115">
        <f>AV9*5.15</f>
        <v>2348.4</v>
      </c>
    </row>
    <row r="10" spans="1:49" ht="15.5" x14ac:dyDescent="0.35">
      <c r="B10">
        <v>6</v>
      </c>
      <c r="C10" s="140">
        <v>16</v>
      </c>
      <c r="D10" s="16">
        <v>22</v>
      </c>
      <c r="E10" s="16">
        <v>17</v>
      </c>
      <c r="F10" s="16">
        <v>17</v>
      </c>
      <c r="G10" s="16">
        <v>17</v>
      </c>
      <c r="H10" s="16">
        <v>17</v>
      </c>
      <c r="I10" s="16">
        <v>17</v>
      </c>
      <c r="J10" s="16">
        <v>10</v>
      </c>
      <c r="K10" s="16">
        <v>7</v>
      </c>
      <c r="M10">
        <v>6</v>
      </c>
      <c r="N10" s="16">
        <v>11</v>
      </c>
      <c r="O10" s="16">
        <v>11</v>
      </c>
      <c r="P10" s="16">
        <v>11</v>
      </c>
      <c r="Q10" s="16">
        <v>11</v>
      </c>
      <c r="R10" s="16">
        <v>11</v>
      </c>
      <c r="S10" s="16">
        <v>11</v>
      </c>
      <c r="T10" s="16">
        <v>11</v>
      </c>
      <c r="U10" s="16">
        <v>11</v>
      </c>
      <c r="V10" s="16">
        <v>11</v>
      </c>
      <c r="W10" s="16">
        <v>11</v>
      </c>
      <c r="X10" s="16">
        <v>11</v>
      </c>
      <c r="Y10" s="16">
        <v>11</v>
      </c>
      <c r="Z10" s="16">
        <v>11</v>
      </c>
      <c r="AA10" s="16">
        <v>11</v>
      </c>
      <c r="AB10" s="16">
        <v>11</v>
      </c>
      <c r="AC10" s="16">
        <v>11</v>
      </c>
      <c r="AD10" s="16">
        <v>0</v>
      </c>
      <c r="AE10" s="16">
        <v>1</v>
      </c>
      <c r="AG10">
        <v>7</v>
      </c>
      <c r="AH10" s="43">
        <v>11</v>
      </c>
      <c r="AJ10">
        <v>7</v>
      </c>
      <c r="AK10" s="28">
        <v>10</v>
      </c>
      <c r="AL10" s="28">
        <f>base_HDJ[[#This Row],[Semaine 
Nombre de demi-journées postées par semaine en médecins seniors]]-5</f>
        <v>5</v>
      </c>
      <c r="AN10">
        <v>7</v>
      </c>
      <c r="AO10" s="28">
        <v>10</v>
      </c>
      <c r="AP10" s="28">
        <f>base_HDS[[#This Row],[Semaine 
Nombre de demi-journées postées par semaine en médecins seniors]]-5</f>
        <v>5</v>
      </c>
      <c r="AR10">
        <v>6</v>
      </c>
      <c r="AS10" s="27">
        <f>ROUNDUP(Tableau4[[#This Row],[Nombre de consultations internes  ]]/30,0)</f>
        <v>1</v>
      </c>
      <c r="AU10" s="116" t="s">
        <v>128</v>
      </c>
      <c r="AV10" s="117">
        <f>AV9*(1-Référentiel!C21)</f>
        <v>443.23199999999997</v>
      </c>
      <c r="AW10" s="118">
        <f>AW9*(1-Référentiel!C24)</f>
        <v>2348.4</v>
      </c>
    </row>
    <row r="11" spans="1:49" x14ac:dyDescent="0.35">
      <c r="M11">
        <v>7</v>
      </c>
      <c r="N11" s="16">
        <v>11</v>
      </c>
      <c r="O11" s="16">
        <v>11</v>
      </c>
      <c r="P11" s="16">
        <v>11</v>
      </c>
      <c r="Q11" s="16">
        <v>11</v>
      </c>
      <c r="R11" s="16">
        <v>11</v>
      </c>
      <c r="S11" s="16">
        <v>11</v>
      </c>
      <c r="T11" s="16">
        <v>11</v>
      </c>
      <c r="U11" s="16">
        <v>11</v>
      </c>
      <c r="V11" s="16">
        <v>11</v>
      </c>
      <c r="W11" s="16">
        <v>11</v>
      </c>
      <c r="X11" s="16">
        <v>11</v>
      </c>
      <c r="Y11" s="16">
        <v>11</v>
      </c>
      <c r="Z11" s="16">
        <v>11</v>
      </c>
      <c r="AA11" s="16">
        <v>11</v>
      </c>
      <c r="AB11" s="16">
        <v>11</v>
      </c>
      <c r="AC11" s="16">
        <v>11</v>
      </c>
      <c r="AD11" s="16">
        <v>0</v>
      </c>
      <c r="AE11" s="16">
        <v>1</v>
      </c>
      <c r="AG11">
        <v>8</v>
      </c>
      <c r="AH11" s="43">
        <v>11</v>
      </c>
      <c r="AJ11">
        <v>8</v>
      </c>
      <c r="AK11" s="28">
        <v>10</v>
      </c>
      <c r="AL11" s="28">
        <f>base_HDJ[[#This Row],[Semaine 
Nombre de demi-journées postées par semaine en médecins seniors]]-5</f>
        <v>5</v>
      </c>
      <c r="AN11">
        <v>8</v>
      </c>
      <c r="AO11" s="28">
        <v>10</v>
      </c>
      <c r="AP11" s="28">
        <f>base_HDS[[#This Row],[Semaine 
Nombre de demi-journées postées par semaine en médecins seniors]]-5</f>
        <v>5</v>
      </c>
      <c r="AR11">
        <v>7</v>
      </c>
      <c r="AS11" s="27">
        <f>ROUNDUP(Tableau4[[#This Row],[Nombre de consultations internes  ]]/30,0)</f>
        <v>1</v>
      </c>
      <c r="AU11" s="119" t="s">
        <v>129</v>
      </c>
      <c r="AV11" s="120">
        <f>AV10-Référentiel!C22*43</f>
        <v>400.23199999999997</v>
      </c>
      <c r="AW11" s="121">
        <f>AW10-5*43</f>
        <v>2133.4</v>
      </c>
    </row>
    <row r="12" spans="1:49" x14ac:dyDescent="0.35">
      <c r="M12">
        <v>8</v>
      </c>
      <c r="N12" s="16">
        <v>11</v>
      </c>
      <c r="O12" s="16">
        <v>11</v>
      </c>
      <c r="P12" s="16">
        <v>11</v>
      </c>
      <c r="Q12" s="16">
        <v>11</v>
      </c>
      <c r="R12" s="16">
        <v>11</v>
      </c>
      <c r="S12" s="16">
        <v>11</v>
      </c>
      <c r="T12" s="16">
        <v>11</v>
      </c>
      <c r="U12" s="16">
        <v>11</v>
      </c>
      <c r="V12" s="16">
        <v>11</v>
      </c>
      <c r="W12" s="16">
        <v>11</v>
      </c>
      <c r="X12" s="16">
        <v>11</v>
      </c>
      <c r="Y12" s="16">
        <v>11</v>
      </c>
      <c r="Z12" s="16">
        <v>11</v>
      </c>
      <c r="AA12" s="16">
        <v>11</v>
      </c>
      <c r="AB12" s="16">
        <v>11</v>
      </c>
      <c r="AC12" s="16">
        <v>11</v>
      </c>
      <c r="AD12" s="16">
        <v>0</v>
      </c>
      <c r="AE12" s="16">
        <v>1</v>
      </c>
      <c r="AG12">
        <v>9</v>
      </c>
      <c r="AH12" s="43">
        <v>11</v>
      </c>
      <c r="AJ12">
        <v>9</v>
      </c>
      <c r="AK12" s="28">
        <v>10</v>
      </c>
      <c r="AL12" s="28">
        <f>base_HDJ[[#This Row],[Semaine 
Nombre de demi-journées postées par semaine en médecins seniors]]-5</f>
        <v>5</v>
      </c>
      <c r="AN12">
        <v>9</v>
      </c>
      <c r="AO12" s="28">
        <v>10</v>
      </c>
      <c r="AP12" s="28">
        <f>base_HDS[[#This Row],[Semaine 
Nombre de demi-journées postées par semaine en médecins seniors]]-5</f>
        <v>5</v>
      </c>
      <c r="AR12">
        <v>8</v>
      </c>
      <c r="AS12" s="27">
        <f>ROUNDUP(Tableau4[[#This Row],[Nombre de consultations internes  ]]/30,0)</f>
        <v>1</v>
      </c>
      <c r="AU12" s="122" t="s">
        <v>135</v>
      </c>
      <c r="AV12" s="123">
        <f>(365-SUM(Référentiel!C17:C19)-NbRTT+NbSolidarite)*2</f>
        <v>416</v>
      </c>
      <c r="AW12" s="124">
        <f>AV12*5.15</f>
        <v>2142.4</v>
      </c>
    </row>
    <row r="13" spans="1:49" x14ac:dyDescent="0.35">
      <c r="M13">
        <v>9</v>
      </c>
      <c r="N13" s="16">
        <v>11</v>
      </c>
      <c r="O13" s="16">
        <v>11</v>
      </c>
      <c r="P13" s="16">
        <v>11</v>
      </c>
      <c r="Q13" s="16">
        <v>11</v>
      </c>
      <c r="R13" s="16">
        <v>11</v>
      </c>
      <c r="S13" s="16">
        <v>11</v>
      </c>
      <c r="T13" s="16">
        <v>11</v>
      </c>
      <c r="U13" s="16">
        <v>11</v>
      </c>
      <c r="V13" s="16">
        <v>11</v>
      </c>
      <c r="W13" s="16">
        <v>11</v>
      </c>
      <c r="X13" s="16">
        <v>11</v>
      </c>
      <c r="Y13" s="16">
        <v>11</v>
      </c>
      <c r="Z13" s="16">
        <v>11</v>
      </c>
      <c r="AA13" s="16">
        <v>11</v>
      </c>
      <c r="AB13" s="16">
        <v>11</v>
      </c>
      <c r="AC13" s="16">
        <v>11</v>
      </c>
      <c r="AD13" s="16">
        <v>0</v>
      </c>
      <c r="AE13" s="16">
        <v>1</v>
      </c>
      <c r="AG13">
        <v>10</v>
      </c>
      <c r="AH13" s="43">
        <v>11</v>
      </c>
      <c r="AJ13">
        <v>10</v>
      </c>
      <c r="AK13" s="28">
        <v>10</v>
      </c>
      <c r="AL13" s="28">
        <f>base_HDJ[[#This Row],[Semaine 
Nombre de demi-journées postées par semaine en médecins seniors]]-5</f>
        <v>5</v>
      </c>
      <c r="AN13">
        <v>10</v>
      </c>
      <c r="AO13" s="28">
        <v>10</v>
      </c>
      <c r="AP13" s="28">
        <f>base_HDS[[#This Row],[Semaine 
Nombre de demi-journées postées par semaine en médecins seniors]]-5</f>
        <v>5</v>
      </c>
      <c r="AR13">
        <v>9</v>
      </c>
      <c r="AS13" s="27">
        <f>ROUNDUP(Tableau4[[#This Row],[Nombre de consultations internes  ]]/30,0)</f>
        <v>1</v>
      </c>
      <c r="AU13" s="125" t="s">
        <v>136</v>
      </c>
      <c r="AV13" s="126">
        <f>AV12*(1-Référentiel!C21)</f>
        <v>404.35199999999998</v>
      </c>
      <c r="AW13" s="127">
        <f>AW12*(1-Référentiel!C27)</f>
        <v>2142.4</v>
      </c>
    </row>
    <row r="14" spans="1:49" x14ac:dyDescent="0.35">
      <c r="M14">
        <v>10</v>
      </c>
      <c r="N14" s="16">
        <v>11</v>
      </c>
      <c r="O14" s="16">
        <v>11</v>
      </c>
      <c r="P14" s="16">
        <v>11</v>
      </c>
      <c r="Q14" s="16">
        <v>11</v>
      </c>
      <c r="R14" s="16">
        <v>11</v>
      </c>
      <c r="S14" s="16">
        <v>11</v>
      </c>
      <c r="T14" s="16">
        <v>11</v>
      </c>
      <c r="U14" s="16">
        <v>11</v>
      </c>
      <c r="V14" s="16">
        <v>11</v>
      </c>
      <c r="W14" s="16">
        <v>11</v>
      </c>
      <c r="X14" s="16">
        <v>11</v>
      </c>
      <c r="Y14" s="16">
        <v>11</v>
      </c>
      <c r="Z14" s="16">
        <v>11</v>
      </c>
      <c r="AA14" s="16">
        <v>11</v>
      </c>
      <c r="AB14" s="16">
        <v>11</v>
      </c>
      <c r="AC14" s="16">
        <v>11</v>
      </c>
      <c r="AD14" s="16">
        <v>0</v>
      </c>
      <c r="AE14" s="16">
        <v>1</v>
      </c>
      <c r="AG14">
        <v>11</v>
      </c>
      <c r="AH14" s="43">
        <v>11</v>
      </c>
      <c r="AJ14">
        <v>11</v>
      </c>
      <c r="AK14" s="28">
        <v>20</v>
      </c>
      <c r="AL14" s="28">
        <f>base_HDJ[[#This Row],[Semaine 
Nombre de demi-journées postées par semaine en médecins seniors]]-5</f>
        <v>15</v>
      </c>
      <c r="AN14">
        <v>11</v>
      </c>
      <c r="AO14" s="28">
        <v>20</v>
      </c>
      <c r="AP14" s="28">
        <f>base_HDS[[#This Row],[Semaine 
Nombre de demi-journées postées par semaine en médecins seniors]]-5</f>
        <v>15</v>
      </c>
      <c r="AR14">
        <v>10</v>
      </c>
      <c r="AS14" s="27">
        <f>ROUNDUP(Tableau4[[#This Row],[Nombre de consultations internes  ]]/30,0)</f>
        <v>1</v>
      </c>
      <c r="AU14" s="128" t="s">
        <v>137</v>
      </c>
      <c r="AV14" s="129">
        <f>AV13-Référentiel!C22*43</f>
        <v>361.35199999999998</v>
      </c>
      <c r="AW14" s="130">
        <f>AW13-5*43</f>
        <v>1927.4</v>
      </c>
    </row>
    <row r="15" spans="1:49" x14ac:dyDescent="0.35">
      <c r="M15">
        <v>11</v>
      </c>
      <c r="N15" s="16">
        <v>11</v>
      </c>
      <c r="O15" s="16">
        <v>11</v>
      </c>
      <c r="P15" s="16">
        <v>11</v>
      </c>
      <c r="Q15" s="16">
        <v>11</v>
      </c>
      <c r="R15" s="16">
        <v>11</v>
      </c>
      <c r="S15" s="16">
        <v>11</v>
      </c>
      <c r="T15" s="16">
        <v>11</v>
      </c>
      <c r="U15" s="16">
        <v>11</v>
      </c>
      <c r="V15" s="16">
        <v>11</v>
      </c>
      <c r="W15" s="16">
        <v>11</v>
      </c>
      <c r="X15" s="16">
        <v>11</v>
      </c>
      <c r="Y15" s="16">
        <v>11</v>
      </c>
      <c r="Z15" s="16">
        <v>11</v>
      </c>
      <c r="AA15" s="16">
        <v>11</v>
      </c>
      <c r="AB15" s="16">
        <v>11</v>
      </c>
      <c r="AC15" s="16">
        <v>11</v>
      </c>
      <c r="AD15" s="16">
        <v>0</v>
      </c>
      <c r="AE15" s="16">
        <v>1</v>
      </c>
      <c r="AG15">
        <v>12</v>
      </c>
      <c r="AH15" s="43">
        <v>11</v>
      </c>
      <c r="AJ15">
        <v>12</v>
      </c>
      <c r="AK15" s="28">
        <v>20</v>
      </c>
      <c r="AL15" s="28">
        <f>base_HDJ[[#This Row],[Semaine 
Nombre de demi-journées postées par semaine en médecins seniors]]-5</f>
        <v>15</v>
      </c>
      <c r="AN15">
        <v>12</v>
      </c>
      <c r="AO15" s="28">
        <v>20</v>
      </c>
      <c r="AP15" s="28">
        <f>base_HDS[[#This Row],[Semaine 
Nombre de demi-journées postées par semaine en médecins seniors]]-5</f>
        <v>15</v>
      </c>
      <c r="AR15">
        <v>11</v>
      </c>
      <c r="AS15" s="27">
        <f>ROUNDUP(Tableau4[[#This Row],[Nombre de consultations internes  ]]/30,0)</f>
        <v>1</v>
      </c>
    </row>
    <row r="16" spans="1:49" x14ac:dyDescent="0.35">
      <c r="M16">
        <v>12</v>
      </c>
      <c r="N16" s="16">
        <v>11</v>
      </c>
      <c r="O16" s="16">
        <v>11</v>
      </c>
      <c r="P16" s="16">
        <v>11</v>
      </c>
      <c r="Q16" s="16">
        <v>11</v>
      </c>
      <c r="R16" s="16">
        <v>11</v>
      </c>
      <c r="S16" s="16">
        <v>11</v>
      </c>
      <c r="T16" s="16">
        <v>11</v>
      </c>
      <c r="U16" s="16">
        <v>11</v>
      </c>
      <c r="V16" s="16">
        <v>11</v>
      </c>
      <c r="W16" s="16">
        <v>11</v>
      </c>
      <c r="X16" s="16">
        <v>11</v>
      </c>
      <c r="Y16" s="16">
        <v>11</v>
      </c>
      <c r="Z16" s="16">
        <v>11</v>
      </c>
      <c r="AA16" s="16">
        <v>11</v>
      </c>
      <c r="AB16" s="16">
        <v>11</v>
      </c>
      <c r="AC16" s="16">
        <v>11</v>
      </c>
      <c r="AD16" s="16">
        <v>0</v>
      </c>
      <c r="AE16" s="16">
        <v>1</v>
      </c>
      <c r="AG16">
        <v>13</v>
      </c>
      <c r="AH16" s="43">
        <v>17</v>
      </c>
      <c r="AJ16">
        <v>13</v>
      </c>
      <c r="AK16" s="28">
        <v>20</v>
      </c>
      <c r="AL16" s="28">
        <f>base_HDJ[[#This Row],[Semaine 
Nombre de demi-journées postées par semaine en médecins seniors]]-5</f>
        <v>15</v>
      </c>
      <c r="AN16">
        <v>13</v>
      </c>
      <c r="AO16" s="28">
        <v>20</v>
      </c>
      <c r="AP16" s="28">
        <f>base_HDS[[#This Row],[Semaine 
Nombre de demi-journées postées par semaine en médecins seniors]]-5</f>
        <v>15</v>
      </c>
      <c r="AR16">
        <v>12</v>
      </c>
      <c r="AS16" s="27">
        <f>ROUNDUP(Tableau4[[#This Row],[Nombre de consultations internes  ]]/30,0)</f>
        <v>1</v>
      </c>
    </row>
    <row r="17" spans="13:45" x14ac:dyDescent="0.35">
      <c r="M17">
        <v>13</v>
      </c>
      <c r="N17" s="16">
        <v>17</v>
      </c>
      <c r="O17" s="16">
        <v>17</v>
      </c>
      <c r="P17" s="16">
        <v>17</v>
      </c>
      <c r="Q17" s="16">
        <v>17</v>
      </c>
      <c r="R17" s="16">
        <v>17</v>
      </c>
      <c r="S17" s="16">
        <v>17</v>
      </c>
      <c r="T17" s="16">
        <v>17</v>
      </c>
      <c r="U17" s="16">
        <v>17</v>
      </c>
      <c r="V17" s="16">
        <v>17</v>
      </c>
      <c r="W17" s="16">
        <v>17</v>
      </c>
      <c r="X17" s="16">
        <v>17</v>
      </c>
      <c r="Y17" s="16">
        <v>17</v>
      </c>
      <c r="Z17" s="16">
        <v>17</v>
      </c>
      <c r="AA17" s="16">
        <v>17</v>
      </c>
      <c r="AB17" s="16">
        <v>17</v>
      </c>
      <c r="AC17" s="16">
        <v>17</v>
      </c>
      <c r="AD17" s="16">
        <v>0</v>
      </c>
      <c r="AE17" s="16">
        <v>1</v>
      </c>
      <c r="AG17">
        <v>14</v>
      </c>
      <c r="AH17" s="43">
        <v>17</v>
      </c>
      <c r="AJ17">
        <v>14</v>
      </c>
      <c r="AK17" s="28">
        <v>20</v>
      </c>
      <c r="AL17" s="28">
        <f>base_HDJ[[#This Row],[Semaine 
Nombre de demi-journées postées par semaine en médecins seniors]]-5</f>
        <v>15</v>
      </c>
      <c r="AN17">
        <v>14</v>
      </c>
      <c r="AO17" s="28">
        <v>20</v>
      </c>
      <c r="AP17" s="28">
        <f>base_HDS[[#This Row],[Semaine 
Nombre de demi-journées postées par semaine en médecins seniors]]-5</f>
        <v>15</v>
      </c>
      <c r="AR17">
        <v>13</v>
      </c>
      <c r="AS17" s="27">
        <f>ROUNDUP(Tableau4[[#This Row],[Nombre de consultations internes  ]]/30,0)</f>
        <v>1</v>
      </c>
    </row>
    <row r="18" spans="13:45" x14ac:dyDescent="0.35">
      <c r="M18">
        <v>14</v>
      </c>
      <c r="N18" s="16">
        <v>17</v>
      </c>
      <c r="O18" s="16">
        <v>17</v>
      </c>
      <c r="P18" s="16">
        <v>17</v>
      </c>
      <c r="Q18" s="16">
        <v>17</v>
      </c>
      <c r="R18" s="16">
        <v>17</v>
      </c>
      <c r="S18" s="16">
        <v>17</v>
      </c>
      <c r="T18" s="16">
        <v>17</v>
      </c>
      <c r="U18" s="16">
        <v>17</v>
      </c>
      <c r="V18" s="16">
        <v>17</v>
      </c>
      <c r="W18" s="16">
        <v>17</v>
      </c>
      <c r="X18" s="16">
        <v>17</v>
      </c>
      <c r="Y18" s="16">
        <v>17</v>
      </c>
      <c r="Z18" s="16">
        <v>17</v>
      </c>
      <c r="AA18" s="16">
        <v>17</v>
      </c>
      <c r="AB18" s="16">
        <v>17</v>
      </c>
      <c r="AC18" s="16">
        <v>17</v>
      </c>
      <c r="AD18" s="16">
        <v>0</v>
      </c>
      <c r="AE18" s="16">
        <v>1</v>
      </c>
      <c r="AG18">
        <v>15</v>
      </c>
      <c r="AH18" s="43">
        <v>17</v>
      </c>
      <c r="AJ18">
        <v>15</v>
      </c>
      <c r="AK18" s="28">
        <v>20</v>
      </c>
      <c r="AL18" s="28">
        <f>base_HDJ[[#This Row],[Semaine 
Nombre de demi-journées postées par semaine en médecins seniors]]-5</f>
        <v>15</v>
      </c>
      <c r="AN18">
        <v>15</v>
      </c>
      <c r="AO18" s="28">
        <v>20</v>
      </c>
      <c r="AP18" s="28">
        <f>base_HDS[[#This Row],[Semaine 
Nombre de demi-journées postées par semaine en médecins seniors]]-5</f>
        <v>15</v>
      </c>
      <c r="AR18">
        <v>14</v>
      </c>
      <c r="AS18" s="27">
        <f>ROUNDUP(Tableau4[[#This Row],[Nombre de consultations internes  ]]/30,0)</f>
        <v>1</v>
      </c>
    </row>
    <row r="19" spans="13:45" x14ac:dyDescent="0.35">
      <c r="M19">
        <v>15</v>
      </c>
      <c r="N19" s="16">
        <v>17</v>
      </c>
      <c r="O19" s="16">
        <v>17</v>
      </c>
      <c r="P19" s="16">
        <v>17</v>
      </c>
      <c r="Q19" s="16">
        <v>17</v>
      </c>
      <c r="R19" s="16">
        <v>17</v>
      </c>
      <c r="S19" s="16">
        <v>17</v>
      </c>
      <c r="T19" s="16">
        <v>17</v>
      </c>
      <c r="U19" s="16">
        <v>17</v>
      </c>
      <c r="V19" s="16">
        <v>17</v>
      </c>
      <c r="W19" s="16">
        <v>17</v>
      </c>
      <c r="X19" s="16">
        <v>17</v>
      </c>
      <c r="Y19" s="16">
        <v>17</v>
      </c>
      <c r="Z19" s="16">
        <v>17</v>
      </c>
      <c r="AA19" s="16">
        <v>17</v>
      </c>
      <c r="AB19" s="16">
        <v>17</v>
      </c>
      <c r="AC19" s="16">
        <v>17</v>
      </c>
      <c r="AD19" s="16">
        <v>0</v>
      </c>
      <c r="AE19" s="16">
        <v>1</v>
      </c>
      <c r="AG19">
        <v>16</v>
      </c>
      <c r="AH19" s="43">
        <v>17</v>
      </c>
      <c r="AJ19">
        <v>16</v>
      </c>
      <c r="AK19" s="28">
        <v>20</v>
      </c>
      <c r="AL19" s="28">
        <f>base_HDJ[[#This Row],[Semaine 
Nombre de demi-journées postées par semaine en médecins seniors]]-5</f>
        <v>15</v>
      </c>
      <c r="AN19">
        <v>16</v>
      </c>
      <c r="AO19" s="28">
        <v>20</v>
      </c>
      <c r="AP19" s="28">
        <f>base_HDS[[#This Row],[Semaine 
Nombre de demi-journées postées par semaine en médecins seniors]]-5</f>
        <v>15</v>
      </c>
      <c r="AR19">
        <v>15</v>
      </c>
      <c r="AS19" s="27">
        <f>ROUNDUP(Tableau4[[#This Row],[Nombre de consultations internes  ]]/30,0)</f>
        <v>1</v>
      </c>
    </row>
    <row r="20" spans="13:45" x14ac:dyDescent="0.35">
      <c r="M20">
        <v>16</v>
      </c>
      <c r="N20" s="16">
        <v>17</v>
      </c>
      <c r="O20" s="16">
        <v>17</v>
      </c>
      <c r="P20" s="16">
        <v>17</v>
      </c>
      <c r="Q20" s="16">
        <v>17</v>
      </c>
      <c r="R20" s="16">
        <v>17</v>
      </c>
      <c r="S20" s="16">
        <v>17</v>
      </c>
      <c r="T20" s="16">
        <v>17</v>
      </c>
      <c r="U20" s="16">
        <v>17</v>
      </c>
      <c r="V20" s="16">
        <v>17</v>
      </c>
      <c r="W20" s="16">
        <v>17</v>
      </c>
      <c r="X20" s="16">
        <v>17</v>
      </c>
      <c r="Y20" s="16">
        <v>17</v>
      </c>
      <c r="Z20" s="16">
        <v>17</v>
      </c>
      <c r="AA20" s="16">
        <v>17</v>
      </c>
      <c r="AB20" s="16">
        <v>17</v>
      </c>
      <c r="AC20" s="16">
        <v>17</v>
      </c>
      <c r="AD20" s="16">
        <v>0</v>
      </c>
      <c r="AE20" s="16">
        <v>1</v>
      </c>
      <c r="AG20">
        <v>17</v>
      </c>
      <c r="AH20" s="43">
        <v>17</v>
      </c>
      <c r="AJ20">
        <v>17</v>
      </c>
      <c r="AK20" s="28">
        <v>20</v>
      </c>
      <c r="AL20" s="28">
        <f>base_HDJ[[#This Row],[Semaine 
Nombre de demi-journées postées par semaine en médecins seniors]]-5</f>
        <v>15</v>
      </c>
      <c r="AN20">
        <v>17</v>
      </c>
      <c r="AO20" s="28">
        <v>20</v>
      </c>
      <c r="AP20" s="28">
        <f>base_HDS[[#This Row],[Semaine 
Nombre de demi-journées postées par semaine en médecins seniors]]-5</f>
        <v>15</v>
      </c>
      <c r="AR20">
        <v>16</v>
      </c>
      <c r="AS20" s="27">
        <f>ROUNDUP(Tableau4[[#This Row],[Nombre de consultations internes  ]]/30,0)</f>
        <v>1</v>
      </c>
    </row>
    <row r="21" spans="13:45" x14ac:dyDescent="0.35">
      <c r="M21">
        <v>17</v>
      </c>
      <c r="N21" s="16">
        <v>17</v>
      </c>
      <c r="O21" s="16">
        <v>17</v>
      </c>
      <c r="P21" s="16">
        <v>17</v>
      </c>
      <c r="Q21" s="16">
        <v>17</v>
      </c>
      <c r="R21" s="16">
        <v>17</v>
      </c>
      <c r="S21" s="16">
        <v>17</v>
      </c>
      <c r="T21" s="16">
        <v>17</v>
      </c>
      <c r="U21" s="16">
        <v>17</v>
      </c>
      <c r="V21" s="16">
        <v>17</v>
      </c>
      <c r="W21" s="16">
        <v>17</v>
      </c>
      <c r="X21" s="16">
        <v>17</v>
      </c>
      <c r="Y21" s="16">
        <v>17</v>
      </c>
      <c r="Z21" s="16">
        <v>17</v>
      </c>
      <c r="AA21" s="16">
        <v>17</v>
      </c>
      <c r="AB21" s="16">
        <v>17</v>
      </c>
      <c r="AC21" s="16">
        <v>17</v>
      </c>
      <c r="AD21" s="16">
        <v>0</v>
      </c>
      <c r="AE21" s="16">
        <v>1</v>
      </c>
      <c r="AG21">
        <v>18</v>
      </c>
      <c r="AH21" s="43">
        <v>17</v>
      </c>
      <c r="AJ21">
        <v>18</v>
      </c>
      <c r="AK21" s="28">
        <v>20</v>
      </c>
      <c r="AL21" s="28">
        <f>base_HDJ[[#This Row],[Semaine 
Nombre de demi-journées postées par semaine en médecins seniors]]-5</f>
        <v>15</v>
      </c>
      <c r="AN21">
        <v>18</v>
      </c>
      <c r="AO21" s="28">
        <v>20</v>
      </c>
      <c r="AP21" s="28">
        <f>base_HDS[[#This Row],[Semaine 
Nombre de demi-journées postées par semaine en médecins seniors]]-5</f>
        <v>15</v>
      </c>
      <c r="AR21">
        <v>17</v>
      </c>
      <c r="AS21" s="27">
        <f>ROUNDUP(Tableau4[[#This Row],[Nombre de consultations internes  ]]/30,0)</f>
        <v>1</v>
      </c>
    </row>
    <row r="22" spans="13:45" x14ac:dyDescent="0.35">
      <c r="M22">
        <v>18</v>
      </c>
      <c r="N22" s="16">
        <v>17</v>
      </c>
      <c r="O22" s="16">
        <v>17</v>
      </c>
      <c r="P22" s="16">
        <v>17</v>
      </c>
      <c r="Q22" s="16">
        <v>17</v>
      </c>
      <c r="R22" s="16">
        <v>17</v>
      </c>
      <c r="S22" s="16">
        <v>17</v>
      </c>
      <c r="T22" s="16">
        <v>17</v>
      </c>
      <c r="U22" s="16">
        <v>17</v>
      </c>
      <c r="V22" s="16">
        <v>17</v>
      </c>
      <c r="W22" s="16">
        <v>17</v>
      </c>
      <c r="X22" s="16">
        <v>17</v>
      </c>
      <c r="Y22" s="16">
        <v>17</v>
      </c>
      <c r="Z22" s="16">
        <v>17</v>
      </c>
      <c r="AA22" s="16">
        <v>17</v>
      </c>
      <c r="AB22" s="16">
        <v>17</v>
      </c>
      <c r="AC22" s="16">
        <v>17</v>
      </c>
      <c r="AD22" s="16">
        <v>0</v>
      </c>
      <c r="AE22" s="16">
        <v>1</v>
      </c>
      <c r="AG22">
        <v>19</v>
      </c>
      <c r="AH22" s="43">
        <v>22</v>
      </c>
      <c r="AJ22">
        <v>19</v>
      </c>
      <c r="AK22" s="28">
        <v>20</v>
      </c>
      <c r="AL22" s="28">
        <f>base_HDJ[[#This Row],[Semaine 
Nombre de demi-journées postées par semaine en médecins seniors]]-5</f>
        <v>15</v>
      </c>
      <c r="AN22">
        <v>19</v>
      </c>
      <c r="AO22" s="28">
        <v>20</v>
      </c>
      <c r="AP22" s="28">
        <f>base_HDS[[#This Row],[Semaine 
Nombre de demi-journées postées par semaine en médecins seniors]]-5</f>
        <v>15</v>
      </c>
      <c r="AR22">
        <v>18</v>
      </c>
      <c r="AS22" s="27">
        <f>ROUNDUP(Tableau4[[#This Row],[Nombre de consultations internes  ]]/30,0)</f>
        <v>1</v>
      </c>
    </row>
    <row r="23" spans="13:45" x14ac:dyDescent="0.35">
      <c r="M23">
        <v>19</v>
      </c>
      <c r="N23" s="16">
        <v>17</v>
      </c>
      <c r="O23" s="16">
        <v>17</v>
      </c>
      <c r="P23" s="16">
        <v>17</v>
      </c>
      <c r="Q23" s="16">
        <v>17</v>
      </c>
      <c r="R23" s="16">
        <v>17</v>
      </c>
      <c r="S23" s="16">
        <v>17</v>
      </c>
      <c r="T23" s="16">
        <v>17</v>
      </c>
      <c r="U23" s="16">
        <v>17</v>
      </c>
      <c r="V23" s="16">
        <v>17</v>
      </c>
      <c r="W23" s="16">
        <v>17</v>
      </c>
      <c r="X23" s="16">
        <v>17</v>
      </c>
      <c r="Y23" s="16">
        <v>17</v>
      </c>
      <c r="Z23" s="16">
        <v>17</v>
      </c>
      <c r="AA23" s="16">
        <v>17</v>
      </c>
      <c r="AB23" s="16">
        <v>17</v>
      </c>
      <c r="AC23" s="16">
        <v>17</v>
      </c>
      <c r="AD23" s="16">
        <v>0</v>
      </c>
      <c r="AE23" s="16">
        <v>1</v>
      </c>
      <c r="AG23">
        <v>20</v>
      </c>
      <c r="AH23" s="43">
        <v>22</v>
      </c>
      <c r="AJ23">
        <v>20</v>
      </c>
      <c r="AK23" s="28">
        <v>20</v>
      </c>
      <c r="AL23" s="28">
        <f>base_HDJ[[#This Row],[Semaine 
Nombre de demi-journées postées par semaine en médecins seniors]]-5</f>
        <v>15</v>
      </c>
      <c r="AN23">
        <v>20</v>
      </c>
      <c r="AO23" s="28">
        <v>20</v>
      </c>
      <c r="AP23" s="28">
        <f>base_HDS[[#This Row],[Semaine 
Nombre de demi-journées postées par semaine en médecins seniors]]-5</f>
        <v>15</v>
      </c>
      <c r="AR23">
        <v>19</v>
      </c>
      <c r="AS23" s="27">
        <f>ROUNDUP(Tableau4[[#This Row],[Nombre de consultations internes  ]]/30,0)</f>
        <v>1</v>
      </c>
    </row>
    <row r="24" spans="13:45" x14ac:dyDescent="0.35">
      <c r="M24">
        <v>20</v>
      </c>
      <c r="N24" s="16">
        <v>22</v>
      </c>
      <c r="O24" s="16">
        <f>base_HC[[#This Row],[Semaine 
Nombre de demi-journées postées par semaine en médecins seniors]]-5</f>
        <v>17</v>
      </c>
      <c r="P24" s="16">
        <f>base_HC[[#This Row],[Semaine 
Nombre de demi-journées postées par semaine en médecins seniors]]-5</f>
        <v>17</v>
      </c>
      <c r="Q24" s="16">
        <f>base_HC[[#This Row],[Semaine 
Nombre de demi-journées postées par semaine en médecins seniors]]-5</f>
        <v>17</v>
      </c>
      <c r="R24" s="16">
        <f>base_HC[[#This Row],[Semaine 
Nombre de demi-journées postées par semaine en médecins seniors]]-5</f>
        <v>17</v>
      </c>
      <c r="S24" s="16">
        <f>base_HC[[#This Row],[Semaine 
Nombre de demi-journées postées par semaine en médecins seniors]]-5</f>
        <v>17</v>
      </c>
      <c r="T24" s="16">
        <f>base_HC[[#This Row],[Semaine 
Nombre de demi-journées postées par semaine en médecins seniors]]-5</f>
        <v>17</v>
      </c>
      <c r="U24" s="16">
        <f>base_HC[[#This Row],[Semaine 
Nombre de demi-journées postées par semaine en médecins seniors]]-5</f>
        <v>17</v>
      </c>
      <c r="V24" s="16">
        <f>base_HC[[#This Row],[Semaine 
Nombre de demi-journées postées par semaine en médecins seniors]]-5</f>
        <v>17</v>
      </c>
      <c r="W24" s="16">
        <f>base_HC[[#This Row],[Semaine 
Nombre de demi-journées postées par semaine en médecins seniors]]-5</f>
        <v>17</v>
      </c>
      <c r="X24" s="16">
        <f>base_HC[[#This Row],[Semaine 
Nombre de demi-journées postées par semaine en médecins seniors]]-5</f>
        <v>17</v>
      </c>
      <c r="Y24" s="16">
        <f>base_HC[[#This Row],[Semaine 
Nombre de demi-journées postées par semaine en médecins seniors]]-5</f>
        <v>17</v>
      </c>
      <c r="Z24" s="16">
        <f>base_HC[[#This Row],[Semaine 
Nombre de demi-journées postées par semaine en médecins seniors]]-5</f>
        <v>17</v>
      </c>
      <c r="AA24" s="16">
        <f>base_HC[[#This Row],[Semaine 
Nombre de demi-journées postées par semaine en médecins seniors]]-5</f>
        <v>17</v>
      </c>
      <c r="AB24" s="16">
        <f>base_HC[[#This Row],[Semaine 
Nombre de demi-journées postées par semaine en médecins seniors]]-5</f>
        <v>17</v>
      </c>
      <c r="AC24" s="16">
        <f>base_HC[[#This Row],[Semaine 
Nombre de demi-journées postées par semaine en médecins seniors]]-5</f>
        <v>17</v>
      </c>
      <c r="AD24" s="16">
        <v>0</v>
      </c>
      <c r="AE24" s="16">
        <v>2</v>
      </c>
      <c r="AG24">
        <v>21</v>
      </c>
      <c r="AH24" s="43">
        <v>22</v>
      </c>
      <c r="AJ24">
        <v>21</v>
      </c>
      <c r="AK24" s="28">
        <v>30</v>
      </c>
      <c r="AL24" s="28">
        <f>base_HDJ[[#This Row],[Semaine 
Nombre de demi-journées postées par semaine en médecins seniors]]-5</f>
        <v>25</v>
      </c>
      <c r="AN24">
        <v>21</v>
      </c>
      <c r="AO24" s="28">
        <v>30</v>
      </c>
      <c r="AP24" s="28">
        <f>base_HDS[[#This Row],[Semaine 
Nombre de demi-journées postées par semaine en médecins seniors]]-5</f>
        <v>25</v>
      </c>
      <c r="AR24">
        <v>20</v>
      </c>
      <c r="AS24" s="27">
        <f>ROUNDUP(Tableau4[[#This Row],[Nombre de consultations internes  ]]/30,0)</f>
        <v>1</v>
      </c>
    </row>
    <row r="25" spans="13:45" x14ac:dyDescent="0.35">
      <c r="M25">
        <v>21</v>
      </c>
      <c r="N25" s="16">
        <v>22</v>
      </c>
      <c r="O25" s="16">
        <f>base_HC[[#This Row],[Semaine 
Nombre de demi-journées postées par semaine en médecins seniors]]-5</f>
        <v>17</v>
      </c>
      <c r="P25" s="16">
        <f>base_HC[[#This Row],[Semaine 
Nombre de demi-journées postées par semaine en médecins seniors]]-5</f>
        <v>17</v>
      </c>
      <c r="Q25" s="16">
        <f>base_HC[[#This Row],[Semaine 
Nombre de demi-journées postées par semaine en médecins seniors]]-5</f>
        <v>17</v>
      </c>
      <c r="R25" s="16">
        <f>base_HC[[#This Row],[Semaine 
Nombre de demi-journées postées par semaine en médecins seniors]]-5</f>
        <v>17</v>
      </c>
      <c r="S25" s="16">
        <f>base_HC[[#This Row],[Semaine 
Nombre de demi-journées postées par semaine en médecins seniors]]-5</f>
        <v>17</v>
      </c>
      <c r="T25" s="16">
        <f>base_HC[[#This Row],[Semaine 
Nombre de demi-journées postées par semaine en médecins seniors]]-5</f>
        <v>17</v>
      </c>
      <c r="U25" s="16">
        <f>base_HC[[#This Row],[Semaine 
Nombre de demi-journées postées par semaine en médecins seniors]]-5</f>
        <v>17</v>
      </c>
      <c r="V25" s="16">
        <f>base_HC[[#This Row],[Semaine 
Nombre de demi-journées postées par semaine en médecins seniors]]-5</f>
        <v>17</v>
      </c>
      <c r="W25" s="16">
        <f>base_HC[[#This Row],[Semaine 
Nombre de demi-journées postées par semaine en médecins seniors]]-5</f>
        <v>17</v>
      </c>
      <c r="X25" s="16">
        <f>base_HC[[#This Row],[Semaine 
Nombre de demi-journées postées par semaine en médecins seniors]]-5</f>
        <v>17</v>
      </c>
      <c r="Y25" s="16">
        <f>base_HC[[#This Row],[Semaine 
Nombre de demi-journées postées par semaine en médecins seniors]]-5</f>
        <v>17</v>
      </c>
      <c r="Z25" s="16">
        <f>base_HC[[#This Row],[Semaine 
Nombre de demi-journées postées par semaine en médecins seniors]]-5</f>
        <v>17</v>
      </c>
      <c r="AA25" s="16">
        <f>base_HC[[#This Row],[Semaine 
Nombre de demi-journées postées par semaine en médecins seniors]]-5</f>
        <v>17</v>
      </c>
      <c r="AB25" s="16">
        <f>base_HC[[#This Row],[Semaine 
Nombre de demi-journées postées par semaine en médecins seniors]]-5</f>
        <v>17</v>
      </c>
      <c r="AC25" s="16">
        <f>base_HC[[#This Row],[Semaine 
Nombre de demi-journées postées par semaine en médecins seniors]]-5</f>
        <v>17</v>
      </c>
      <c r="AD25" s="16">
        <v>0</v>
      </c>
      <c r="AE25" s="16">
        <v>2</v>
      </c>
      <c r="AG25">
        <v>22</v>
      </c>
      <c r="AH25" s="43">
        <v>22</v>
      </c>
      <c r="AJ25">
        <v>22</v>
      </c>
      <c r="AK25" s="28">
        <v>30</v>
      </c>
      <c r="AL25" s="28">
        <f>base_HDJ[[#This Row],[Semaine 
Nombre de demi-journées postées par semaine en médecins seniors]]-5</f>
        <v>25</v>
      </c>
      <c r="AN25">
        <v>22</v>
      </c>
      <c r="AO25" s="28">
        <v>30</v>
      </c>
      <c r="AP25" s="28">
        <f>base_HDS[[#This Row],[Semaine 
Nombre de demi-journées postées par semaine en médecins seniors]]-5</f>
        <v>25</v>
      </c>
      <c r="AR25">
        <v>21</v>
      </c>
      <c r="AS25" s="27">
        <f>ROUNDUP(Tableau4[[#This Row],[Nombre de consultations internes  ]]/30,0)</f>
        <v>1</v>
      </c>
    </row>
    <row r="26" spans="13:45" x14ac:dyDescent="0.35">
      <c r="M26">
        <v>22</v>
      </c>
      <c r="N26" s="16">
        <v>22</v>
      </c>
      <c r="O26" s="16">
        <f>base_HC[[#This Row],[Semaine 
Nombre de demi-journées postées par semaine en médecins seniors]]-5</f>
        <v>17</v>
      </c>
      <c r="P26" s="16">
        <f>base_HC[[#This Row],[Semaine 
Nombre de demi-journées postées par semaine en médecins seniors]]-5</f>
        <v>17</v>
      </c>
      <c r="Q26" s="16">
        <f>base_HC[[#This Row],[Semaine 
Nombre de demi-journées postées par semaine en médecins seniors]]-5</f>
        <v>17</v>
      </c>
      <c r="R26" s="16">
        <f>base_HC[[#This Row],[Semaine 
Nombre de demi-journées postées par semaine en médecins seniors]]-5</f>
        <v>17</v>
      </c>
      <c r="S26" s="16">
        <f>base_HC[[#This Row],[Semaine 
Nombre de demi-journées postées par semaine en médecins seniors]]-5</f>
        <v>17</v>
      </c>
      <c r="T26" s="16">
        <f>base_HC[[#This Row],[Semaine 
Nombre de demi-journées postées par semaine en médecins seniors]]-5</f>
        <v>17</v>
      </c>
      <c r="U26" s="16">
        <f>base_HC[[#This Row],[Semaine 
Nombre de demi-journées postées par semaine en médecins seniors]]-5</f>
        <v>17</v>
      </c>
      <c r="V26" s="16">
        <f>base_HC[[#This Row],[Semaine 
Nombre de demi-journées postées par semaine en médecins seniors]]-5</f>
        <v>17</v>
      </c>
      <c r="W26" s="16">
        <f>base_HC[[#This Row],[Semaine 
Nombre de demi-journées postées par semaine en médecins seniors]]-5</f>
        <v>17</v>
      </c>
      <c r="X26" s="16">
        <f>base_HC[[#This Row],[Semaine 
Nombre de demi-journées postées par semaine en médecins seniors]]-5</f>
        <v>17</v>
      </c>
      <c r="Y26" s="16">
        <f>base_HC[[#This Row],[Semaine 
Nombre de demi-journées postées par semaine en médecins seniors]]-5</f>
        <v>17</v>
      </c>
      <c r="Z26" s="16">
        <f>base_HC[[#This Row],[Semaine 
Nombre de demi-journées postées par semaine en médecins seniors]]-5</f>
        <v>17</v>
      </c>
      <c r="AA26" s="16">
        <f>base_HC[[#This Row],[Semaine 
Nombre de demi-journées postées par semaine en médecins seniors]]-5</f>
        <v>17</v>
      </c>
      <c r="AB26" s="16">
        <f>base_HC[[#This Row],[Semaine 
Nombre de demi-journées postées par semaine en médecins seniors]]-5</f>
        <v>17</v>
      </c>
      <c r="AC26" s="16">
        <f>base_HC[[#This Row],[Semaine 
Nombre de demi-journées postées par semaine en médecins seniors]]-5</f>
        <v>17</v>
      </c>
      <c r="AD26" s="16">
        <v>0</v>
      </c>
      <c r="AE26" s="16">
        <v>2</v>
      </c>
      <c r="AG26">
        <v>23</v>
      </c>
      <c r="AH26" s="43">
        <v>22</v>
      </c>
      <c r="AJ26">
        <v>23</v>
      </c>
      <c r="AK26" s="28">
        <v>30</v>
      </c>
      <c r="AL26" s="28">
        <f>base_HDJ[[#This Row],[Semaine 
Nombre de demi-journées postées par semaine en médecins seniors]]-5</f>
        <v>25</v>
      </c>
      <c r="AN26">
        <v>23</v>
      </c>
      <c r="AO26" s="28">
        <v>30</v>
      </c>
      <c r="AP26" s="28">
        <f>base_HDS[[#This Row],[Semaine 
Nombre de demi-journées postées par semaine en médecins seniors]]-5</f>
        <v>25</v>
      </c>
      <c r="AR26">
        <v>22</v>
      </c>
      <c r="AS26" s="27">
        <f>ROUNDUP(Tableau4[[#This Row],[Nombre de consultations internes  ]]/30,0)</f>
        <v>1</v>
      </c>
    </row>
    <row r="27" spans="13:45" x14ac:dyDescent="0.35">
      <c r="M27">
        <v>23</v>
      </c>
      <c r="N27" s="16">
        <v>22</v>
      </c>
      <c r="O27" s="16">
        <f>base_HC[[#This Row],[Semaine 
Nombre de demi-journées postées par semaine en médecins seniors]]-5</f>
        <v>17</v>
      </c>
      <c r="P27" s="16">
        <f>base_HC[[#This Row],[Semaine 
Nombre de demi-journées postées par semaine en médecins seniors]]-5</f>
        <v>17</v>
      </c>
      <c r="Q27" s="16">
        <f>base_HC[[#This Row],[Semaine 
Nombre de demi-journées postées par semaine en médecins seniors]]-5</f>
        <v>17</v>
      </c>
      <c r="R27" s="16">
        <f>base_HC[[#This Row],[Semaine 
Nombre de demi-journées postées par semaine en médecins seniors]]-5</f>
        <v>17</v>
      </c>
      <c r="S27" s="16">
        <f>base_HC[[#This Row],[Semaine 
Nombre de demi-journées postées par semaine en médecins seniors]]-5</f>
        <v>17</v>
      </c>
      <c r="T27" s="16">
        <f>base_HC[[#This Row],[Semaine 
Nombre de demi-journées postées par semaine en médecins seniors]]-5</f>
        <v>17</v>
      </c>
      <c r="U27" s="16">
        <f>base_HC[[#This Row],[Semaine 
Nombre de demi-journées postées par semaine en médecins seniors]]-5</f>
        <v>17</v>
      </c>
      <c r="V27" s="16">
        <f>base_HC[[#This Row],[Semaine 
Nombre de demi-journées postées par semaine en médecins seniors]]-5</f>
        <v>17</v>
      </c>
      <c r="W27" s="16">
        <f>base_HC[[#This Row],[Semaine 
Nombre de demi-journées postées par semaine en médecins seniors]]-5</f>
        <v>17</v>
      </c>
      <c r="X27" s="16">
        <f>base_HC[[#This Row],[Semaine 
Nombre de demi-journées postées par semaine en médecins seniors]]-5</f>
        <v>17</v>
      </c>
      <c r="Y27" s="16">
        <f>base_HC[[#This Row],[Semaine 
Nombre de demi-journées postées par semaine en médecins seniors]]-5</f>
        <v>17</v>
      </c>
      <c r="Z27" s="16">
        <f>base_HC[[#This Row],[Semaine 
Nombre de demi-journées postées par semaine en médecins seniors]]-5</f>
        <v>17</v>
      </c>
      <c r="AA27" s="16">
        <f>base_HC[[#This Row],[Semaine 
Nombre de demi-journées postées par semaine en médecins seniors]]-5</f>
        <v>17</v>
      </c>
      <c r="AB27" s="16">
        <f>base_HC[[#This Row],[Semaine 
Nombre de demi-journées postées par semaine en médecins seniors]]-5</f>
        <v>17</v>
      </c>
      <c r="AC27" s="16">
        <f>base_HC[[#This Row],[Semaine 
Nombre de demi-journées postées par semaine en médecins seniors]]-5</f>
        <v>17</v>
      </c>
      <c r="AD27" s="16">
        <v>0</v>
      </c>
      <c r="AE27" s="16">
        <v>2</v>
      </c>
      <c r="AG27">
        <v>24</v>
      </c>
      <c r="AH27" s="43">
        <v>22</v>
      </c>
      <c r="AJ27">
        <v>24</v>
      </c>
      <c r="AK27" s="28">
        <v>30</v>
      </c>
      <c r="AL27" s="28">
        <f>base_HDJ[[#This Row],[Semaine 
Nombre de demi-journées postées par semaine en médecins seniors]]-5</f>
        <v>25</v>
      </c>
      <c r="AN27">
        <v>24</v>
      </c>
      <c r="AO27" s="28">
        <v>30</v>
      </c>
      <c r="AP27" s="28">
        <f>base_HDS[[#This Row],[Semaine 
Nombre de demi-journées postées par semaine en médecins seniors]]-5</f>
        <v>25</v>
      </c>
      <c r="AR27">
        <v>23</v>
      </c>
      <c r="AS27" s="27">
        <f>ROUNDUP(Tableau4[[#This Row],[Nombre de consultations internes  ]]/30,0)</f>
        <v>1</v>
      </c>
    </row>
    <row r="28" spans="13:45" x14ac:dyDescent="0.35">
      <c r="M28">
        <v>24</v>
      </c>
      <c r="N28" s="16">
        <v>22</v>
      </c>
      <c r="O28" s="16">
        <f>base_HC[[#This Row],[Semaine 
Nombre de demi-journées postées par semaine en médecins seniors]]-5</f>
        <v>17</v>
      </c>
      <c r="P28" s="16">
        <f>base_HC[[#This Row],[Semaine 
Nombre de demi-journées postées par semaine en médecins seniors]]-5</f>
        <v>17</v>
      </c>
      <c r="Q28" s="16">
        <f>base_HC[[#This Row],[Semaine 
Nombre de demi-journées postées par semaine en médecins seniors]]-5</f>
        <v>17</v>
      </c>
      <c r="R28" s="16">
        <f>base_HC[[#This Row],[Semaine 
Nombre de demi-journées postées par semaine en médecins seniors]]-5</f>
        <v>17</v>
      </c>
      <c r="S28" s="16">
        <f>base_HC[[#This Row],[Semaine 
Nombre de demi-journées postées par semaine en médecins seniors]]-5</f>
        <v>17</v>
      </c>
      <c r="T28" s="16">
        <f>base_HC[[#This Row],[Semaine 
Nombre de demi-journées postées par semaine en médecins seniors]]-5</f>
        <v>17</v>
      </c>
      <c r="U28" s="16">
        <f>base_HC[[#This Row],[Semaine 
Nombre de demi-journées postées par semaine en médecins seniors]]-5</f>
        <v>17</v>
      </c>
      <c r="V28" s="16">
        <f>base_HC[[#This Row],[Semaine 
Nombre de demi-journées postées par semaine en médecins seniors]]-5</f>
        <v>17</v>
      </c>
      <c r="W28" s="16">
        <f>base_HC[[#This Row],[Semaine 
Nombre de demi-journées postées par semaine en médecins seniors]]-5</f>
        <v>17</v>
      </c>
      <c r="X28" s="16">
        <f>base_HC[[#This Row],[Semaine 
Nombre de demi-journées postées par semaine en médecins seniors]]-5</f>
        <v>17</v>
      </c>
      <c r="Y28" s="16">
        <f>base_HC[[#This Row],[Semaine 
Nombre de demi-journées postées par semaine en médecins seniors]]-5</f>
        <v>17</v>
      </c>
      <c r="Z28" s="16">
        <f>base_HC[[#This Row],[Semaine 
Nombre de demi-journées postées par semaine en médecins seniors]]-5</f>
        <v>17</v>
      </c>
      <c r="AA28" s="16">
        <f>base_HC[[#This Row],[Semaine 
Nombre de demi-journées postées par semaine en médecins seniors]]-5</f>
        <v>17</v>
      </c>
      <c r="AB28" s="16">
        <f>base_HC[[#This Row],[Semaine 
Nombre de demi-journées postées par semaine en médecins seniors]]-5</f>
        <v>17</v>
      </c>
      <c r="AC28" s="16">
        <f>base_HC[[#This Row],[Semaine 
Nombre de demi-journées postées par semaine en médecins seniors]]-5</f>
        <v>17</v>
      </c>
      <c r="AD28" s="16">
        <v>0</v>
      </c>
      <c r="AE28" s="16">
        <v>2</v>
      </c>
      <c r="AG28">
        <v>25</v>
      </c>
      <c r="AH28" s="43">
        <v>28</v>
      </c>
      <c r="AJ28">
        <v>25</v>
      </c>
      <c r="AK28" s="28">
        <v>30</v>
      </c>
      <c r="AL28" s="28">
        <f>base_HDJ[[#This Row],[Semaine 
Nombre de demi-journées postées par semaine en médecins seniors]]-5</f>
        <v>25</v>
      </c>
      <c r="AN28">
        <v>25</v>
      </c>
      <c r="AO28" s="28">
        <v>30</v>
      </c>
      <c r="AP28" s="28">
        <f>base_HDS[[#This Row],[Semaine 
Nombre de demi-journées postées par semaine en médecins seniors]]-5</f>
        <v>25</v>
      </c>
      <c r="AR28">
        <v>24</v>
      </c>
      <c r="AS28" s="27">
        <f>ROUNDUP(Tableau4[[#This Row],[Nombre de consultations internes  ]]/30,0)</f>
        <v>1</v>
      </c>
    </row>
    <row r="29" spans="13:45" x14ac:dyDescent="0.35">
      <c r="M29">
        <v>25</v>
      </c>
      <c r="N29" s="16">
        <v>28</v>
      </c>
      <c r="O29" s="16">
        <f>base_HC[[#This Row],[Semaine 
Nombre de demi-journées postées par semaine en médecins seniors]]-5</f>
        <v>23</v>
      </c>
      <c r="P29" s="16">
        <f>base_HC[[#This Row],[Semaine 
Nombre de demi-journées postées par semaine en médecins seniors]]-5</f>
        <v>23</v>
      </c>
      <c r="Q29" s="16">
        <f>base_HC[[#This Row],[Semaine 
Nombre de demi-journées postées par semaine en médecins seniors]]-5</f>
        <v>23</v>
      </c>
      <c r="R29" s="16">
        <f>base_HC[[#This Row],[Semaine 
Nombre de demi-journées postées par semaine en médecins seniors]]-5</f>
        <v>23</v>
      </c>
      <c r="S29" s="16">
        <f>base_HC[[#This Row],[Semaine 
Nombre de demi-journées postées par semaine en médecins seniors]]-5</f>
        <v>23</v>
      </c>
      <c r="T29" s="16">
        <f>base_HC[[#This Row],[Semaine 
Nombre de demi-journées postées par semaine en médecins seniors]]-5</f>
        <v>23</v>
      </c>
      <c r="U29" s="16">
        <f>base_HC[[#This Row],[Semaine 
Nombre de demi-journées postées par semaine en médecins seniors]]-5</f>
        <v>23</v>
      </c>
      <c r="V29" s="16">
        <f>base_HC[[#This Row],[Semaine 
Nombre de demi-journées postées par semaine en médecins seniors]]-5</f>
        <v>23</v>
      </c>
      <c r="W29" s="16">
        <f>base_HC[[#This Row],[Semaine 
Nombre de demi-journées postées par semaine en médecins seniors]]-5</f>
        <v>23</v>
      </c>
      <c r="X29" s="16">
        <f>base_HC[[#This Row],[Semaine 
Nombre de demi-journées postées par semaine en médecins seniors]]-5</f>
        <v>23</v>
      </c>
      <c r="Y29" s="16">
        <f>base_HC[[#This Row],[Semaine 
Nombre de demi-journées postées par semaine en médecins seniors]]-5</f>
        <v>23</v>
      </c>
      <c r="Z29" s="16">
        <f>base_HC[[#This Row],[Semaine 
Nombre de demi-journées postées par semaine en médecins seniors]]-5</f>
        <v>23</v>
      </c>
      <c r="AA29" s="16">
        <f>base_HC[[#This Row],[Semaine 
Nombre de demi-journées postées par semaine en médecins seniors]]-5</f>
        <v>23</v>
      </c>
      <c r="AB29" s="16">
        <f>base_HC[[#This Row],[Semaine 
Nombre de demi-journées postées par semaine en médecins seniors]]-5</f>
        <v>23</v>
      </c>
      <c r="AC29" s="16">
        <f>base_HC[[#This Row],[Semaine 
Nombre de demi-journées postées par semaine en médecins seniors]]-5</f>
        <v>23</v>
      </c>
      <c r="AD29" s="16">
        <v>0</v>
      </c>
      <c r="AE29" s="16">
        <v>2</v>
      </c>
      <c r="AG29">
        <v>26</v>
      </c>
      <c r="AH29" s="43">
        <v>28</v>
      </c>
      <c r="AJ29">
        <v>26</v>
      </c>
      <c r="AK29" s="28">
        <v>30</v>
      </c>
      <c r="AL29" s="28">
        <f>base_HDJ[[#This Row],[Semaine 
Nombre de demi-journées postées par semaine en médecins seniors]]-5</f>
        <v>25</v>
      </c>
      <c r="AN29">
        <v>26</v>
      </c>
      <c r="AO29" s="28">
        <v>30</v>
      </c>
      <c r="AP29" s="28">
        <f>base_HDS[[#This Row],[Semaine 
Nombre de demi-journées postées par semaine en médecins seniors]]-5</f>
        <v>25</v>
      </c>
      <c r="AR29">
        <v>25</v>
      </c>
      <c r="AS29" s="27">
        <f>ROUNDUP(Tableau4[[#This Row],[Nombre de consultations internes  ]]/30,0)</f>
        <v>1</v>
      </c>
    </row>
    <row r="30" spans="13:45" x14ac:dyDescent="0.35">
      <c r="M30">
        <v>26</v>
      </c>
      <c r="N30" s="16">
        <v>28</v>
      </c>
      <c r="O30" s="16">
        <f>base_HC[[#This Row],[Semaine 
Nombre de demi-journées postées par semaine en médecins seniors]]-5</f>
        <v>23</v>
      </c>
      <c r="P30" s="16">
        <f>base_HC[[#This Row],[Semaine 
Nombre de demi-journées postées par semaine en médecins seniors]]-5</f>
        <v>23</v>
      </c>
      <c r="Q30" s="16">
        <f>base_HC[[#This Row],[Semaine 
Nombre de demi-journées postées par semaine en médecins seniors]]-5</f>
        <v>23</v>
      </c>
      <c r="R30" s="16">
        <f>base_HC[[#This Row],[Semaine 
Nombre de demi-journées postées par semaine en médecins seniors]]-5</f>
        <v>23</v>
      </c>
      <c r="S30" s="16">
        <f>base_HC[[#This Row],[Semaine 
Nombre de demi-journées postées par semaine en médecins seniors]]-5</f>
        <v>23</v>
      </c>
      <c r="T30" s="16">
        <f>base_HC[[#This Row],[Semaine 
Nombre de demi-journées postées par semaine en médecins seniors]]-5</f>
        <v>23</v>
      </c>
      <c r="U30" s="16">
        <f>base_HC[[#This Row],[Semaine 
Nombre de demi-journées postées par semaine en médecins seniors]]-5</f>
        <v>23</v>
      </c>
      <c r="V30" s="16">
        <f>base_HC[[#This Row],[Semaine 
Nombre de demi-journées postées par semaine en médecins seniors]]-5</f>
        <v>23</v>
      </c>
      <c r="W30" s="16">
        <f>base_HC[[#This Row],[Semaine 
Nombre de demi-journées postées par semaine en médecins seniors]]-5</f>
        <v>23</v>
      </c>
      <c r="X30" s="16">
        <f>base_HC[[#This Row],[Semaine 
Nombre de demi-journées postées par semaine en médecins seniors]]-5</f>
        <v>23</v>
      </c>
      <c r="Y30" s="16">
        <f>base_HC[[#This Row],[Semaine 
Nombre de demi-journées postées par semaine en médecins seniors]]-5</f>
        <v>23</v>
      </c>
      <c r="Z30" s="16">
        <f>base_HC[[#This Row],[Semaine 
Nombre de demi-journées postées par semaine en médecins seniors]]-5</f>
        <v>23</v>
      </c>
      <c r="AA30" s="16">
        <f>base_HC[[#This Row],[Semaine 
Nombre de demi-journées postées par semaine en médecins seniors]]-5</f>
        <v>23</v>
      </c>
      <c r="AB30" s="16">
        <f>base_HC[[#This Row],[Semaine 
Nombre de demi-journées postées par semaine en médecins seniors]]-5</f>
        <v>23</v>
      </c>
      <c r="AC30" s="16">
        <f>base_HC[[#This Row],[Semaine 
Nombre de demi-journées postées par semaine en médecins seniors]]-5</f>
        <v>23</v>
      </c>
      <c r="AD30" s="16">
        <v>0</v>
      </c>
      <c r="AE30" s="16">
        <v>2</v>
      </c>
      <c r="AG30">
        <v>27</v>
      </c>
      <c r="AH30" s="43">
        <v>28</v>
      </c>
      <c r="AJ30">
        <v>27</v>
      </c>
      <c r="AK30" s="28">
        <v>30</v>
      </c>
      <c r="AL30" s="28">
        <f>base_HDJ[[#This Row],[Semaine 
Nombre de demi-journées postées par semaine en médecins seniors]]-5</f>
        <v>25</v>
      </c>
      <c r="AN30">
        <v>27</v>
      </c>
      <c r="AO30" s="28">
        <v>30</v>
      </c>
      <c r="AP30" s="28">
        <f>base_HDS[[#This Row],[Semaine 
Nombre de demi-journées postées par semaine en médecins seniors]]-5</f>
        <v>25</v>
      </c>
      <c r="AR30">
        <v>26</v>
      </c>
      <c r="AS30" s="27">
        <f>ROUNDUP(Tableau4[[#This Row],[Nombre de consultations internes  ]]/30,0)</f>
        <v>1</v>
      </c>
    </row>
    <row r="31" spans="13:45" x14ac:dyDescent="0.35">
      <c r="M31">
        <v>27</v>
      </c>
      <c r="N31" s="16">
        <v>28</v>
      </c>
      <c r="O31" s="16">
        <f>base_HC[[#This Row],[Semaine 
Nombre de demi-journées postées par semaine en médecins seniors]]-5</f>
        <v>23</v>
      </c>
      <c r="P31" s="16">
        <f>base_HC[[#This Row],[Semaine 
Nombre de demi-journées postées par semaine en médecins seniors]]-5</f>
        <v>23</v>
      </c>
      <c r="Q31" s="16">
        <f>base_HC[[#This Row],[Semaine 
Nombre de demi-journées postées par semaine en médecins seniors]]-5</f>
        <v>23</v>
      </c>
      <c r="R31" s="16">
        <f>base_HC[[#This Row],[Semaine 
Nombre de demi-journées postées par semaine en médecins seniors]]-5</f>
        <v>23</v>
      </c>
      <c r="S31" s="16">
        <f>base_HC[[#This Row],[Semaine 
Nombre de demi-journées postées par semaine en médecins seniors]]-5</f>
        <v>23</v>
      </c>
      <c r="T31" s="16">
        <f>base_HC[[#This Row],[Semaine 
Nombre de demi-journées postées par semaine en médecins seniors]]-5</f>
        <v>23</v>
      </c>
      <c r="U31" s="16">
        <f>base_HC[[#This Row],[Semaine 
Nombre de demi-journées postées par semaine en médecins seniors]]-5</f>
        <v>23</v>
      </c>
      <c r="V31" s="16">
        <f>base_HC[[#This Row],[Semaine 
Nombre de demi-journées postées par semaine en médecins seniors]]-5</f>
        <v>23</v>
      </c>
      <c r="W31" s="16">
        <f>base_HC[[#This Row],[Semaine 
Nombre de demi-journées postées par semaine en médecins seniors]]-5</f>
        <v>23</v>
      </c>
      <c r="X31" s="16">
        <f>base_HC[[#This Row],[Semaine 
Nombre de demi-journées postées par semaine en médecins seniors]]-5</f>
        <v>23</v>
      </c>
      <c r="Y31" s="16">
        <f>base_HC[[#This Row],[Semaine 
Nombre de demi-journées postées par semaine en médecins seniors]]-5</f>
        <v>23</v>
      </c>
      <c r="Z31" s="16">
        <f>base_HC[[#This Row],[Semaine 
Nombre de demi-journées postées par semaine en médecins seniors]]-5</f>
        <v>23</v>
      </c>
      <c r="AA31" s="16">
        <f>base_HC[[#This Row],[Semaine 
Nombre de demi-journées postées par semaine en médecins seniors]]-5</f>
        <v>23</v>
      </c>
      <c r="AB31" s="16">
        <f>base_HC[[#This Row],[Semaine 
Nombre de demi-journées postées par semaine en médecins seniors]]-5</f>
        <v>23</v>
      </c>
      <c r="AC31" s="16">
        <f>base_HC[[#This Row],[Semaine 
Nombre de demi-journées postées par semaine en médecins seniors]]-5</f>
        <v>23</v>
      </c>
      <c r="AD31" s="16">
        <v>0</v>
      </c>
      <c r="AE31" s="16">
        <v>2</v>
      </c>
      <c r="AG31">
        <v>28</v>
      </c>
      <c r="AH31" s="43">
        <v>28</v>
      </c>
      <c r="AJ31">
        <v>28</v>
      </c>
      <c r="AK31" s="28">
        <v>30</v>
      </c>
      <c r="AL31" s="28">
        <f>base_HDJ[[#This Row],[Semaine 
Nombre de demi-journées postées par semaine en médecins seniors]]-5</f>
        <v>25</v>
      </c>
      <c r="AN31">
        <v>28</v>
      </c>
      <c r="AO31" s="28">
        <v>30</v>
      </c>
      <c r="AP31" s="28">
        <f>base_HDS[[#This Row],[Semaine 
Nombre de demi-journées postées par semaine en médecins seniors]]-5</f>
        <v>25</v>
      </c>
      <c r="AR31">
        <v>27</v>
      </c>
      <c r="AS31" s="27">
        <f>ROUNDUP(Tableau4[[#This Row],[Nombre de consultations internes  ]]/30,0)</f>
        <v>1</v>
      </c>
    </row>
    <row r="32" spans="13:45" x14ac:dyDescent="0.35">
      <c r="M32">
        <v>28</v>
      </c>
      <c r="N32" s="16">
        <v>28</v>
      </c>
      <c r="O32" s="16">
        <f>base_HC[[#This Row],[Semaine 
Nombre de demi-journées postées par semaine en médecins seniors]]-5</f>
        <v>23</v>
      </c>
      <c r="P32" s="16">
        <f>base_HC[[#This Row],[Semaine 
Nombre de demi-journées postées par semaine en médecins seniors]]-5</f>
        <v>23</v>
      </c>
      <c r="Q32" s="16">
        <f>base_HC[[#This Row],[Semaine 
Nombre de demi-journées postées par semaine en médecins seniors]]-5</f>
        <v>23</v>
      </c>
      <c r="R32" s="16">
        <f>base_HC[[#This Row],[Semaine 
Nombre de demi-journées postées par semaine en médecins seniors]]-5</f>
        <v>23</v>
      </c>
      <c r="S32" s="16">
        <f>base_HC[[#This Row],[Semaine 
Nombre de demi-journées postées par semaine en médecins seniors]]-5</f>
        <v>23</v>
      </c>
      <c r="T32" s="16">
        <f>base_HC[[#This Row],[Semaine 
Nombre de demi-journées postées par semaine en médecins seniors]]-5</f>
        <v>23</v>
      </c>
      <c r="U32" s="16">
        <f>base_HC[[#This Row],[Semaine 
Nombre de demi-journées postées par semaine en médecins seniors]]-5</f>
        <v>23</v>
      </c>
      <c r="V32" s="16">
        <f>base_HC[[#This Row],[Semaine 
Nombre de demi-journées postées par semaine en médecins seniors]]-5</f>
        <v>23</v>
      </c>
      <c r="W32" s="16">
        <f>base_HC[[#This Row],[Semaine 
Nombre de demi-journées postées par semaine en médecins seniors]]-5</f>
        <v>23</v>
      </c>
      <c r="X32" s="16">
        <f>base_HC[[#This Row],[Semaine 
Nombre de demi-journées postées par semaine en médecins seniors]]-5</f>
        <v>23</v>
      </c>
      <c r="Y32" s="16">
        <f>base_HC[[#This Row],[Semaine 
Nombre de demi-journées postées par semaine en médecins seniors]]-5</f>
        <v>23</v>
      </c>
      <c r="Z32" s="16">
        <f>base_HC[[#This Row],[Semaine 
Nombre de demi-journées postées par semaine en médecins seniors]]-5</f>
        <v>23</v>
      </c>
      <c r="AA32" s="16">
        <f>base_HC[[#This Row],[Semaine 
Nombre de demi-journées postées par semaine en médecins seniors]]-5</f>
        <v>23</v>
      </c>
      <c r="AB32" s="16">
        <f>base_HC[[#This Row],[Semaine 
Nombre de demi-journées postées par semaine en médecins seniors]]-5</f>
        <v>23</v>
      </c>
      <c r="AC32" s="16">
        <f>base_HC[[#This Row],[Semaine 
Nombre de demi-journées postées par semaine en médecins seniors]]-5</f>
        <v>23</v>
      </c>
      <c r="AD32" s="16">
        <v>0</v>
      </c>
      <c r="AE32" s="16">
        <v>2</v>
      </c>
      <c r="AG32">
        <v>29</v>
      </c>
      <c r="AH32" s="43">
        <v>28</v>
      </c>
      <c r="AJ32">
        <v>29</v>
      </c>
      <c r="AK32" s="28">
        <v>30</v>
      </c>
      <c r="AL32" s="28">
        <f>base_HDJ[[#This Row],[Semaine 
Nombre de demi-journées postées par semaine en médecins seniors]]-5</f>
        <v>25</v>
      </c>
      <c r="AN32">
        <v>29</v>
      </c>
      <c r="AO32" s="28">
        <v>30</v>
      </c>
      <c r="AP32" s="28">
        <f>base_HDS[[#This Row],[Semaine 
Nombre de demi-journées postées par semaine en médecins seniors]]-5</f>
        <v>25</v>
      </c>
      <c r="AR32">
        <v>28</v>
      </c>
      <c r="AS32" s="27">
        <f>ROUNDUP(Tableau4[[#This Row],[Nombre de consultations internes  ]]/30,0)</f>
        <v>1</v>
      </c>
    </row>
    <row r="33" spans="13:45" x14ac:dyDescent="0.35">
      <c r="M33">
        <v>29</v>
      </c>
      <c r="N33" s="16">
        <v>28</v>
      </c>
      <c r="O33" s="16">
        <f>base_HC[[#This Row],[Semaine 
Nombre de demi-journées postées par semaine en médecins seniors]]-5</f>
        <v>23</v>
      </c>
      <c r="P33" s="16">
        <f>base_HC[[#This Row],[Semaine 
Nombre de demi-journées postées par semaine en médecins seniors]]-5</f>
        <v>23</v>
      </c>
      <c r="Q33" s="16">
        <f>base_HC[[#This Row],[Semaine 
Nombre de demi-journées postées par semaine en médecins seniors]]-5</f>
        <v>23</v>
      </c>
      <c r="R33" s="16">
        <f>base_HC[[#This Row],[Semaine 
Nombre de demi-journées postées par semaine en médecins seniors]]-5</f>
        <v>23</v>
      </c>
      <c r="S33" s="16">
        <f>base_HC[[#This Row],[Semaine 
Nombre de demi-journées postées par semaine en médecins seniors]]-5</f>
        <v>23</v>
      </c>
      <c r="T33" s="16">
        <f>base_HC[[#This Row],[Semaine 
Nombre de demi-journées postées par semaine en médecins seniors]]-5</f>
        <v>23</v>
      </c>
      <c r="U33" s="16">
        <f>base_HC[[#This Row],[Semaine 
Nombre de demi-journées postées par semaine en médecins seniors]]-5</f>
        <v>23</v>
      </c>
      <c r="V33" s="16">
        <f>base_HC[[#This Row],[Semaine 
Nombre de demi-journées postées par semaine en médecins seniors]]-5</f>
        <v>23</v>
      </c>
      <c r="W33" s="16">
        <f>base_HC[[#This Row],[Semaine 
Nombre de demi-journées postées par semaine en médecins seniors]]-5</f>
        <v>23</v>
      </c>
      <c r="X33" s="16">
        <f>base_HC[[#This Row],[Semaine 
Nombre de demi-journées postées par semaine en médecins seniors]]-5</f>
        <v>23</v>
      </c>
      <c r="Y33" s="16">
        <f>base_HC[[#This Row],[Semaine 
Nombre de demi-journées postées par semaine en médecins seniors]]-5</f>
        <v>23</v>
      </c>
      <c r="Z33" s="16">
        <f>base_HC[[#This Row],[Semaine 
Nombre de demi-journées postées par semaine en médecins seniors]]-5</f>
        <v>23</v>
      </c>
      <c r="AA33" s="16">
        <f>base_HC[[#This Row],[Semaine 
Nombre de demi-journées postées par semaine en médecins seniors]]-5</f>
        <v>23</v>
      </c>
      <c r="AB33" s="16">
        <f>base_HC[[#This Row],[Semaine 
Nombre de demi-journées postées par semaine en médecins seniors]]-5</f>
        <v>23</v>
      </c>
      <c r="AC33" s="16">
        <f>base_HC[[#This Row],[Semaine 
Nombre de demi-journées postées par semaine en médecins seniors]]-5</f>
        <v>23</v>
      </c>
      <c r="AD33" s="16">
        <v>0</v>
      </c>
      <c r="AE33" s="16">
        <v>2</v>
      </c>
      <c r="AG33">
        <v>30</v>
      </c>
      <c r="AH33" s="43">
        <v>28</v>
      </c>
      <c r="AJ33">
        <v>30</v>
      </c>
      <c r="AK33" s="28">
        <v>30</v>
      </c>
      <c r="AL33" s="28">
        <f>base_HDJ[[#This Row],[Semaine 
Nombre de demi-journées postées par semaine en médecins seniors]]-5</f>
        <v>25</v>
      </c>
      <c r="AN33">
        <v>30</v>
      </c>
      <c r="AO33" s="28">
        <v>30</v>
      </c>
      <c r="AP33" s="28">
        <f>base_HDS[[#This Row],[Semaine 
Nombre de demi-journées postées par semaine en médecins seniors]]-5</f>
        <v>25</v>
      </c>
      <c r="AR33">
        <v>29</v>
      </c>
      <c r="AS33" s="27">
        <f>ROUNDUP(Tableau4[[#This Row],[Nombre de consultations internes  ]]/30,0)</f>
        <v>1</v>
      </c>
    </row>
    <row r="34" spans="13:45" x14ac:dyDescent="0.35">
      <c r="M34">
        <v>30</v>
      </c>
      <c r="N34" s="16">
        <v>28</v>
      </c>
      <c r="O34" s="16">
        <f>base_HC[[#This Row],[Semaine 
Nombre de demi-journées postées par semaine en médecins seniors]]-5</f>
        <v>23</v>
      </c>
      <c r="P34" s="16">
        <f>base_HC[[#This Row],[Semaine 
Nombre de demi-journées postées par semaine en médecins seniors]]-5</f>
        <v>23</v>
      </c>
      <c r="Q34" s="16">
        <f>base_HC[[#This Row],[Semaine 
Nombre de demi-journées postées par semaine en médecins seniors]]-5</f>
        <v>23</v>
      </c>
      <c r="R34" s="16">
        <f>base_HC[[#This Row],[Semaine 
Nombre de demi-journées postées par semaine en médecins seniors]]-5</f>
        <v>23</v>
      </c>
      <c r="S34" s="16">
        <f>base_HC[[#This Row],[Semaine 
Nombre de demi-journées postées par semaine en médecins seniors]]-5</f>
        <v>23</v>
      </c>
      <c r="T34" s="16">
        <f>base_HC[[#This Row],[Semaine 
Nombre de demi-journées postées par semaine en médecins seniors]]-5</f>
        <v>23</v>
      </c>
      <c r="U34" s="16">
        <f>base_HC[[#This Row],[Semaine 
Nombre de demi-journées postées par semaine en médecins seniors]]-5</f>
        <v>23</v>
      </c>
      <c r="V34" s="16">
        <f>base_HC[[#This Row],[Semaine 
Nombre de demi-journées postées par semaine en médecins seniors]]-5</f>
        <v>23</v>
      </c>
      <c r="W34" s="16">
        <f>base_HC[[#This Row],[Semaine 
Nombre de demi-journées postées par semaine en médecins seniors]]-5</f>
        <v>23</v>
      </c>
      <c r="X34" s="16">
        <f>base_HC[[#This Row],[Semaine 
Nombre de demi-journées postées par semaine en médecins seniors]]-5</f>
        <v>23</v>
      </c>
      <c r="Y34" s="16">
        <f>base_HC[[#This Row],[Semaine 
Nombre de demi-journées postées par semaine en médecins seniors]]-5</f>
        <v>23</v>
      </c>
      <c r="Z34" s="16">
        <f>base_HC[[#This Row],[Semaine 
Nombre de demi-journées postées par semaine en médecins seniors]]-5</f>
        <v>23</v>
      </c>
      <c r="AA34" s="16">
        <f>base_HC[[#This Row],[Semaine 
Nombre de demi-journées postées par semaine en médecins seniors]]-5</f>
        <v>23</v>
      </c>
      <c r="AB34" s="16">
        <f>base_HC[[#This Row],[Semaine 
Nombre de demi-journées postées par semaine en médecins seniors]]-5</f>
        <v>23</v>
      </c>
      <c r="AC34" s="16">
        <f>base_HC[[#This Row],[Semaine 
Nombre de demi-journées postées par semaine en médecins seniors]]-5</f>
        <v>23</v>
      </c>
      <c r="AD34" s="16">
        <v>0</v>
      </c>
      <c r="AE34" s="16">
        <v>2</v>
      </c>
      <c r="AG34">
        <v>31</v>
      </c>
      <c r="AH34" s="43">
        <v>33</v>
      </c>
      <c r="AJ34">
        <v>31</v>
      </c>
      <c r="AK34" s="28">
        <v>40</v>
      </c>
      <c r="AL34" s="28">
        <f>base_HDJ[[#This Row],[Semaine 
Nombre de demi-journées postées par semaine en médecins seniors]]-5</f>
        <v>35</v>
      </c>
      <c r="AN34">
        <v>31</v>
      </c>
      <c r="AO34" s="28">
        <v>40</v>
      </c>
      <c r="AP34" s="28">
        <f>base_HDS[[#This Row],[Semaine 
Nombre de demi-journées postées par semaine en médecins seniors]]-5</f>
        <v>35</v>
      </c>
      <c r="AR34">
        <v>30</v>
      </c>
      <c r="AS34" s="27">
        <f>ROUNDUP(Tableau4[[#This Row],[Nombre de consultations internes  ]]/30,0)</f>
        <v>1</v>
      </c>
    </row>
    <row r="35" spans="13:45" x14ac:dyDescent="0.35">
      <c r="M35">
        <v>31</v>
      </c>
      <c r="N35" s="16">
        <v>28</v>
      </c>
      <c r="O35" s="16">
        <f>base_HC[[#This Row],[Semaine 
Nombre de demi-journées postées par semaine en médecins seniors]]-5</f>
        <v>23</v>
      </c>
      <c r="P35" s="16">
        <f>base_HC[[#This Row],[Semaine 
Nombre de demi-journées postées par semaine en médecins seniors]]-5</f>
        <v>23</v>
      </c>
      <c r="Q35" s="16">
        <f>base_HC[[#This Row],[Semaine 
Nombre de demi-journées postées par semaine en médecins seniors]]-5</f>
        <v>23</v>
      </c>
      <c r="R35" s="16">
        <f>base_HC[[#This Row],[Semaine 
Nombre de demi-journées postées par semaine en médecins seniors]]-5</f>
        <v>23</v>
      </c>
      <c r="S35" s="16">
        <f>base_HC[[#This Row],[Semaine 
Nombre de demi-journées postées par semaine en médecins seniors]]-5</f>
        <v>23</v>
      </c>
      <c r="T35" s="16">
        <f>base_HC[[#This Row],[Semaine 
Nombre de demi-journées postées par semaine en médecins seniors]]-5</f>
        <v>23</v>
      </c>
      <c r="U35" s="16">
        <f>base_HC[[#This Row],[Semaine 
Nombre de demi-journées postées par semaine en médecins seniors]]-5</f>
        <v>23</v>
      </c>
      <c r="V35" s="16">
        <f>base_HC[[#This Row],[Semaine 
Nombre de demi-journées postées par semaine en médecins seniors]]-5</f>
        <v>23</v>
      </c>
      <c r="W35" s="16">
        <f>base_HC[[#This Row],[Semaine 
Nombre de demi-journées postées par semaine en médecins seniors]]-5</f>
        <v>23</v>
      </c>
      <c r="X35" s="16">
        <f>base_HC[[#This Row],[Semaine 
Nombre de demi-journées postées par semaine en médecins seniors]]-5</f>
        <v>23</v>
      </c>
      <c r="Y35" s="16">
        <f>base_HC[[#This Row],[Semaine 
Nombre de demi-journées postées par semaine en médecins seniors]]-5</f>
        <v>23</v>
      </c>
      <c r="Z35" s="16">
        <f>base_HC[[#This Row],[Semaine 
Nombre de demi-journées postées par semaine en médecins seniors]]-5</f>
        <v>23</v>
      </c>
      <c r="AA35" s="16">
        <f>base_HC[[#This Row],[Semaine 
Nombre de demi-journées postées par semaine en médecins seniors]]-5</f>
        <v>23</v>
      </c>
      <c r="AB35" s="16">
        <f>base_HC[[#This Row],[Semaine 
Nombre de demi-journées postées par semaine en médecins seniors]]-5</f>
        <v>23</v>
      </c>
      <c r="AC35" s="16">
        <f>base_HC[[#This Row],[Semaine 
Nombre de demi-journées postées par semaine en médecins seniors]]-5</f>
        <v>23</v>
      </c>
      <c r="AD35" s="16">
        <v>0</v>
      </c>
      <c r="AE35" s="16">
        <v>2</v>
      </c>
      <c r="AG35">
        <v>32</v>
      </c>
      <c r="AH35" s="43">
        <v>33</v>
      </c>
      <c r="AJ35">
        <v>32</v>
      </c>
      <c r="AK35" s="28">
        <v>40</v>
      </c>
      <c r="AL35" s="28">
        <f>base_HDJ[[#This Row],[Semaine 
Nombre de demi-journées postées par semaine en médecins seniors]]-5</f>
        <v>35</v>
      </c>
      <c r="AN35">
        <v>32</v>
      </c>
      <c r="AO35" s="28">
        <v>40</v>
      </c>
      <c r="AP35" s="28">
        <f>base_HDS[[#This Row],[Semaine 
Nombre de demi-journées postées par semaine en médecins seniors]]-5</f>
        <v>35</v>
      </c>
      <c r="AR35">
        <v>31</v>
      </c>
      <c r="AS35" s="27">
        <f>ROUNDUP(Tableau4[[#This Row],[Nombre de consultations internes  ]]/30,0)</f>
        <v>2</v>
      </c>
    </row>
    <row r="36" spans="13:45" x14ac:dyDescent="0.35">
      <c r="M36">
        <v>32</v>
      </c>
      <c r="N36" s="16">
        <v>33</v>
      </c>
      <c r="O36" s="16">
        <f>base_HC[[#This Row],[Semaine 
Nombre de demi-journées postées par semaine en médecins seniors]]-5</f>
        <v>28</v>
      </c>
      <c r="P36" s="16">
        <f>base_HC[[#This Row],[Semaine 
Nombre de demi-journées postées par semaine en médecins seniors]]-5</f>
        <v>28</v>
      </c>
      <c r="Q36" s="16">
        <f>base_HC[[#This Row],[Semaine 
Nombre de demi-journées postées par semaine en médecins seniors]]-5</f>
        <v>28</v>
      </c>
      <c r="R36" s="16">
        <f>base_HC[[#This Row],[Semaine 
Nombre de demi-journées postées par semaine en médecins seniors]]-5</f>
        <v>28</v>
      </c>
      <c r="S36" s="16">
        <f>base_HC[[#This Row],[Semaine 
Nombre de demi-journées postées par semaine en médecins seniors]]-5</f>
        <v>28</v>
      </c>
      <c r="T36" s="16">
        <f>base_HC[[#This Row],[Semaine 
Nombre de demi-journées postées par semaine en médecins seniors]]-5</f>
        <v>28</v>
      </c>
      <c r="U36" s="16">
        <f>base_HC[[#This Row],[Semaine 
Nombre de demi-journées postées par semaine en médecins seniors]]-5</f>
        <v>28</v>
      </c>
      <c r="V36" s="16">
        <f>base_HC[[#This Row],[Semaine 
Nombre de demi-journées postées par semaine en médecins seniors]]-5</f>
        <v>28</v>
      </c>
      <c r="W36" s="16">
        <f>base_HC[[#This Row],[Semaine 
Nombre de demi-journées postées par semaine en médecins seniors]]-5</f>
        <v>28</v>
      </c>
      <c r="X36" s="16">
        <f>base_HC[[#This Row],[Semaine 
Nombre de demi-journées postées par semaine en médecins seniors]]-5</f>
        <v>28</v>
      </c>
      <c r="Y36" s="16">
        <f>base_HC[[#This Row],[Semaine 
Nombre de demi-journées postées par semaine en médecins seniors]]-5</f>
        <v>28</v>
      </c>
      <c r="Z36" s="16">
        <f>base_HC[[#This Row],[Semaine 
Nombre de demi-journées postées par semaine en médecins seniors]]-5</f>
        <v>28</v>
      </c>
      <c r="AA36" s="16">
        <f>base_HC[[#This Row],[Semaine 
Nombre de demi-journées postées par semaine en médecins seniors]]-5</f>
        <v>28</v>
      </c>
      <c r="AB36" s="16">
        <f>base_HC[[#This Row],[Semaine 
Nombre de demi-journées postées par semaine en médecins seniors]]-5</f>
        <v>28</v>
      </c>
      <c r="AC36" s="16">
        <f>base_HC[[#This Row],[Semaine 
Nombre de demi-journées postées par semaine en médecins seniors]]-5</f>
        <v>28</v>
      </c>
      <c r="AD36" s="16">
        <v>0</v>
      </c>
      <c r="AE36" s="16">
        <v>3</v>
      </c>
      <c r="AG36">
        <v>33</v>
      </c>
      <c r="AH36" s="43">
        <v>33</v>
      </c>
      <c r="AJ36">
        <v>33</v>
      </c>
      <c r="AK36" s="28">
        <v>40</v>
      </c>
      <c r="AL36" s="28">
        <f>base_HDJ[[#This Row],[Semaine 
Nombre de demi-journées postées par semaine en médecins seniors]]-5</f>
        <v>35</v>
      </c>
      <c r="AN36">
        <v>33</v>
      </c>
      <c r="AO36" s="28">
        <v>40</v>
      </c>
      <c r="AP36" s="28">
        <f>base_HDS[[#This Row],[Semaine 
Nombre de demi-journées postées par semaine en médecins seniors]]-5</f>
        <v>35</v>
      </c>
      <c r="AR36">
        <v>32</v>
      </c>
      <c r="AS36" s="27">
        <f>ROUNDUP(Tableau4[[#This Row],[Nombre de consultations internes  ]]/30,0)</f>
        <v>2</v>
      </c>
    </row>
    <row r="37" spans="13:45" x14ac:dyDescent="0.35">
      <c r="M37">
        <v>33</v>
      </c>
      <c r="N37" s="16">
        <v>33</v>
      </c>
      <c r="O37" s="16">
        <f>base_HC[[#This Row],[Semaine 
Nombre de demi-journées postées par semaine en médecins seniors]]-5</f>
        <v>28</v>
      </c>
      <c r="P37" s="16">
        <f>base_HC[[#This Row],[Semaine 
Nombre de demi-journées postées par semaine en médecins seniors]]-5</f>
        <v>28</v>
      </c>
      <c r="Q37" s="16">
        <f>base_HC[[#This Row],[Semaine 
Nombre de demi-journées postées par semaine en médecins seniors]]-5</f>
        <v>28</v>
      </c>
      <c r="R37" s="16">
        <f>base_HC[[#This Row],[Semaine 
Nombre de demi-journées postées par semaine en médecins seniors]]-5</f>
        <v>28</v>
      </c>
      <c r="S37" s="16">
        <f>base_HC[[#This Row],[Semaine 
Nombre de demi-journées postées par semaine en médecins seniors]]-5</f>
        <v>28</v>
      </c>
      <c r="T37" s="16">
        <f>base_HC[[#This Row],[Semaine 
Nombre de demi-journées postées par semaine en médecins seniors]]-5</f>
        <v>28</v>
      </c>
      <c r="U37" s="16">
        <f>base_HC[[#This Row],[Semaine 
Nombre de demi-journées postées par semaine en médecins seniors]]-5</f>
        <v>28</v>
      </c>
      <c r="V37" s="16">
        <f>base_HC[[#This Row],[Semaine 
Nombre de demi-journées postées par semaine en médecins seniors]]-5</f>
        <v>28</v>
      </c>
      <c r="W37" s="16">
        <f>base_HC[[#This Row],[Semaine 
Nombre de demi-journées postées par semaine en médecins seniors]]-5</f>
        <v>28</v>
      </c>
      <c r="X37" s="16">
        <f>base_HC[[#This Row],[Semaine 
Nombre de demi-journées postées par semaine en médecins seniors]]-5</f>
        <v>28</v>
      </c>
      <c r="Y37" s="16">
        <f>base_HC[[#This Row],[Semaine 
Nombre de demi-journées postées par semaine en médecins seniors]]-5</f>
        <v>28</v>
      </c>
      <c r="Z37" s="16">
        <f>base_HC[[#This Row],[Semaine 
Nombre de demi-journées postées par semaine en médecins seniors]]-5</f>
        <v>28</v>
      </c>
      <c r="AA37" s="16">
        <f>base_HC[[#This Row],[Semaine 
Nombre de demi-journées postées par semaine en médecins seniors]]-5</f>
        <v>28</v>
      </c>
      <c r="AB37" s="16">
        <f>base_HC[[#This Row],[Semaine 
Nombre de demi-journées postées par semaine en médecins seniors]]-5</f>
        <v>28</v>
      </c>
      <c r="AC37" s="16">
        <f>base_HC[[#This Row],[Semaine 
Nombre de demi-journées postées par semaine en médecins seniors]]-5</f>
        <v>28</v>
      </c>
      <c r="AD37" s="16">
        <v>0</v>
      </c>
      <c r="AE37" s="16">
        <v>3</v>
      </c>
      <c r="AG37">
        <v>34</v>
      </c>
      <c r="AH37" s="43">
        <v>33</v>
      </c>
      <c r="AJ37">
        <v>34</v>
      </c>
      <c r="AK37" s="28">
        <v>40</v>
      </c>
      <c r="AL37" s="28">
        <f>base_HDJ[[#This Row],[Semaine 
Nombre de demi-journées postées par semaine en médecins seniors]]-5</f>
        <v>35</v>
      </c>
      <c r="AN37">
        <v>34</v>
      </c>
      <c r="AO37" s="28">
        <v>40</v>
      </c>
      <c r="AP37" s="28">
        <f>base_HDS[[#This Row],[Semaine 
Nombre de demi-journées postées par semaine en médecins seniors]]-5</f>
        <v>35</v>
      </c>
      <c r="AR37">
        <v>33</v>
      </c>
      <c r="AS37" s="27">
        <f>ROUNDUP(Tableau4[[#This Row],[Nombre de consultations internes  ]]/30,0)</f>
        <v>2</v>
      </c>
    </row>
    <row r="38" spans="13:45" x14ac:dyDescent="0.35">
      <c r="M38">
        <v>34</v>
      </c>
      <c r="N38" s="16">
        <v>33</v>
      </c>
      <c r="O38" s="16">
        <f>base_HC[[#This Row],[Semaine 
Nombre de demi-journées postées par semaine en médecins seniors]]-5</f>
        <v>28</v>
      </c>
      <c r="P38" s="16">
        <f>base_HC[[#This Row],[Semaine 
Nombre de demi-journées postées par semaine en médecins seniors]]-5</f>
        <v>28</v>
      </c>
      <c r="Q38" s="16">
        <f>base_HC[[#This Row],[Semaine 
Nombre de demi-journées postées par semaine en médecins seniors]]-5</f>
        <v>28</v>
      </c>
      <c r="R38" s="16">
        <f>base_HC[[#This Row],[Semaine 
Nombre de demi-journées postées par semaine en médecins seniors]]-5</f>
        <v>28</v>
      </c>
      <c r="S38" s="16">
        <f>base_HC[[#This Row],[Semaine 
Nombre de demi-journées postées par semaine en médecins seniors]]-5</f>
        <v>28</v>
      </c>
      <c r="T38" s="16">
        <f>base_HC[[#This Row],[Semaine 
Nombre de demi-journées postées par semaine en médecins seniors]]-5</f>
        <v>28</v>
      </c>
      <c r="U38" s="16">
        <f>base_HC[[#This Row],[Semaine 
Nombre de demi-journées postées par semaine en médecins seniors]]-5</f>
        <v>28</v>
      </c>
      <c r="V38" s="16">
        <f>base_HC[[#This Row],[Semaine 
Nombre de demi-journées postées par semaine en médecins seniors]]-5</f>
        <v>28</v>
      </c>
      <c r="W38" s="16">
        <f>base_HC[[#This Row],[Semaine 
Nombre de demi-journées postées par semaine en médecins seniors]]-5</f>
        <v>28</v>
      </c>
      <c r="X38" s="16">
        <f>base_HC[[#This Row],[Semaine 
Nombre de demi-journées postées par semaine en médecins seniors]]-5</f>
        <v>28</v>
      </c>
      <c r="Y38" s="16">
        <f>base_HC[[#This Row],[Semaine 
Nombre de demi-journées postées par semaine en médecins seniors]]-5</f>
        <v>28</v>
      </c>
      <c r="Z38" s="16">
        <f>base_HC[[#This Row],[Semaine 
Nombre de demi-journées postées par semaine en médecins seniors]]-5</f>
        <v>28</v>
      </c>
      <c r="AA38" s="16">
        <f>base_HC[[#This Row],[Semaine 
Nombre de demi-journées postées par semaine en médecins seniors]]-5</f>
        <v>28</v>
      </c>
      <c r="AB38" s="16">
        <f>base_HC[[#This Row],[Semaine 
Nombre de demi-journées postées par semaine en médecins seniors]]-5</f>
        <v>28</v>
      </c>
      <c r="AC38" s="16">
        <f>base_HC[[#This Row],[Semaine 
Nombre de demi-journées postées par semaine en médecins seniors]]-5</f>
        <v>28</v>
      </c>
      <c r="AD38" s="16">
        <v>0</v>
      </c>
      <c r="AE38" s="16">
        <v>3</v>
      </c>
      <c r="AG38">
        <v>35</v>
      </c>
      <c r="AH38" s="43">
        <v>33</v>
      </c>
      <c r="AJ38">
        <v>35</v>
      </c>
      <c r="AK38" s="28">
        <v>40</v>
      </c>
      <c r="AL38" s="28">
        <f>base_HDJ[[#This Row],[Semaine 
Nombre de demi-journées postées par semaine en médecins seniors]]-5</f>
        <v>35</v>
      </c>
      <c r="AN38">
        <v>35</v>
      </c>
      <c r="AO38" s="28">
        <v>40</v>
      </c>
      <c r="AP38" s="28">
        <f>base_HDS[[#This Row],[Semaine 
Nombre de demi-journées postées par semaine en médecins seniors]]-5</f>
        <v>35</v>
      </c>
      <c r="AR38">
        <v>34</v>
      </c>
      <c r="AS38" s="27">
        <f>ROUNDUP(Tableau4[[#This Row],[Nombre de consultations internes  ]]/30,0)</f>
        <v>2</v>
      </c>
    </row>
    <row r="39" spans="13:45" x14ac:dyDescent="0.35">
      <c r="M39">
        <v>35</v>
      </c>
      <c r="N39" s="16">
        <v>33</v>
      </c>
      <c r="O39" s="16">
        <f>base_HC[[#This Row],[Semaine 
Nombre de demi-journées postées par semaine en médecins seniors]]-5</f>
        <v>28</v>
      </c>
      <c r="P39" s="16">
        <f>base_HC[[#This Row],[Semaine 
Nombre de demi-journées postées par semaine en médecins seniors]]-5</f>
        <v>28</v>
      </c>
      <c r="Q39" s="16">
        <f>base_HC[[#This Row],[Semaine 
Nombre de demi-journées postées par semaine en médecins seniors]]-5</f>
        <v>28</v>
      </c>
      <c r="R39" s="16">
        <f>base_HC[[#This Row],[Semaine 
Nombre de demi-journées postées par semaine en médecins seniors]]-5</f>
        <v>28</v>
      </c>
      <c r="S39" s="16">
        <f>base_HC[[#This Row],[Semaine 
Nombre de demi-journées postées par semaine en médecins seniors]]-5</f>
        <v>28</v>
      </c>
      <c r="T39" s="16">
        <f>base_HC[[#This Row],[Semaine 
Nombre de demi-journées postées par semaine en médecins seniors]]-5</f>
        <v>28</v>
      </c>
      <c r="U39" s="16">
        <f>base_HC[[#This Row],[Semaine 
Nombre de demi-journées postées par semaine en médecins seniors]]-5</f>
        <v>28</v>
      </c>
      <c r="V39" s="16">
        <f>base_HC[[#This Row],[Semaine 
Nombre de demi-journées postées par semaine en médecins seniors]]-5</f>
        <v>28</v>
      </c>
      <c r="W39" s="16">
        <f>base_HC[[#This Row],[Semaine 
Nombre de demi-journées postées par semaine en médecins seniors]]-5</f>
        <v>28</v>
      </c>
      <c r="X39" s="16">
        <f>base_HC[[#This Row],[Semaine 
Nombre de demi-journées postées par semaine en médecins seniors]]-5</f>
        <v>28</v>
      </c>
      <c r="Y39" s="16">
        <f>base_HC[[#This Row],[Semaine 
Nombre de demi-journées postées par semaine en médecins seniors]]-5</f>
        <v>28</v>
      </c>
      <c r="Z39" s="16">
        <f>base_HC[[#This Row],[Semaine 
Nombre de demi-journées postées par semaine en médecins seniors]]-5</f>
        <v>28</v>
      </c>
      <c r="AA39" s="16">
        <f>base_HC[[#This Row],[Semaine 
Nombre de demi-journées postées par semaine en médecins seniors]]-5</f>
        <v>28</v>
      </c>
      <c r="AB39" s="16">
        <f>base_HC[[#This Row],[Semaine 
Nombre de demi-journées postées par semaine en médecins seniors]]-5</f>
        <v>28</v>
      </c>
      <c r="AC39" s="16">
        <f>base_HC[[#This Row],[Semaine 
Nombre de demi-journées postées par semaine en médecins seniors]]-5</f>
        <v>28</v>
      </c>
      <c r="AD39" s="16">
        <v>0</v>
      </c>
      <c r="AE39" s="16">
        <v>3</v>
      </c>
      <c r="AG39">
        <v>36</v>
      </c>
      <c r="AH39" s="43">
        <v>33</v>
      </c>
      <c r="AJ39">
        <v>36</v>
      </c>
      <c r="AK39" s="28">
        <v>40</v>
      </c>
      <c r="AL39" s="28">
        <f>base_HDJ[[#This Row],[Semaine 
Nombre de demi-journées postées par semaine en médecins seniors]]-5</f>
        <v>35</v>
      </c>
      <c r="AN39">
        <v>36</v>
      </c>
      <c r="AO39" s="28">
        <v>40</v>
      </c>
      <c r="AP39" s="28">
        <f>base_HDS[[#This Row],[Semaine 
Nombre de demi-journées postées par semaine en médecins seniors]]-5</f>
        <v>35</v>
      </c>
      <c r="AR39">
        <v>35</v>
      </c>
      <c r="AS39" s="27">
        <f>ROUNDUP(Tableau4[[#This Row],[Nombre de consultations internes  ]]/30,0)</f>
        <v>2</v>
      </c>
    </row>
    <row r="40" spans="13:45" x14ac:dyDescent="0.35">
      <c r="M40">
        <v>36</v>
      </c>
      <c r="N40" s="16">
        <v>33</v>
      </c>
      <c r="O40" s="16">
        <f>base_HC[[#This Row],[Semaine 
Nombre de demi-journées postées par semaine en médecins seniors]]-5</f>
        <v>28</v>
      </c>
      <c r="P40" s="16">
        <f>base_HC[[#This Row],[Semaine 
Nombre de demi-journées postées par semaine en médecins seniors]]-5</f>
        <v>28</v>
      </c>
      <c r="Q40" s="16">
        <f>base_HC[[#This Row],[Semaine 
Nombre de demi-journées postées par semaine en médecins seniors]]-5</f>
        <v>28</v>
      </c>
      <c r="R40" s="16">
        <f>base_HC[[#This Row],[Semaine 
Nombre de demi-journées postées par semaine en médecins seniors]]-5</f>
        <v>28</v>
      </c>
      <c r="S40" s="16">
        <f>base_HC[[#This Row],[Semaine 
Nombre de demi-journées postées par semaine en médecins seniors]]-5</f>
        <v>28</v>
      </c>
      <c r="T40" s="16">
        <f>base_HC[[#This Row],[Semaine 
Nombre de demi-journées postées par semaine en médecins seniors]]-5</f>
        <v>28</v>
      </c>
      <c r="U40" s="16">
        <f>base_HC[[#This Row],[Semaine 
Nombre de demi-journées postées par semaine en médecins seniors]]-5</f>
        <v>28</v>
      </c>
      <c r="V40" s="16">
        <f>base_HC[[#This Row],[Semaine 
Nombre de demi-journées postées par semaine en médecins seniors]]-5</f>
        <v>28</v>
      </c>
      <c r="W40" s="16">
        <f>base_HC[[#This Row],[Semaine 
Nombre de demi-journées postées par semaine en médecins seniors]]-5</f>
        <v>28</v>
      </c>
      <c r="X40" s="16">
        <f>base_HC[[#This Row],[Semaine 
Nombre de demi-journées postées par semaine en médecins seniors]]-5</f>
        <v>28</v>
      </c>
      <c r="Y40" s="16">
        <f>base_HC[[#This Row],[Semaine 
Nombre de demi-journées postées par semaine en médecins seniors]]-5</f>
        <v>28</v>
      </c>
      <c r="Z40" s="16">
        <f>base_HC[[#This Row],[Semaine 
Nombre de demi-journées postées par semaine en médecins seniors]]-5</f>
        <v>28</v>
      </c>
      <c r="AA40" s="16">
        <f>base_HC[[#This Row],[Semaine 
Nombre de demi-journées postées par semaine en médecins seniors]]-5</f>
        <v>28</v>
      </c>
      <c r="AB40" s="16">
        <f>base_HC[[#This Row],[Semaine 
Nombre de demi-journées postées par semaine en médecins seniors]]-5</f>
        <v>28</v>
      </c>
      <c r="AC40" s="16">
        <f>base_HC[[#This Row],[Semaine 
Nombre de demi-journées postées par semaine en médecins seniors]]-5</f>
        <v>28</v>
      </c>
      <c r="AD40" s="16">
        <v>0</v>
      </c>
      <c r="AE40" s="16">
        <v>3</v>
      </c>
      <c r="AG40">
        <v>37</v>
      </c>
      <c r="AH40" s="43">
        <v>39</v>
      </c>
      <c r="AJ40">
        <v>37</v>
      </c>
      <c r="AK40" s="28">
        <v>40</v>
      </c>
      <c r="AL40" s="28">
        <f>base_HDJ[[#This Row],[Semaine 
Nombre de demi-journées postées par semaine en médecins seniors]]-5</f>
        <v>35</v>
      </c>
      <c r="AN40">
        <v>37</v>
      </c>
      <c r="AO40" s="28">
        <v>40</v>
      </c>
      <c r="AP40" s="28">
        <f>base_HDS[[#This Row],[Semaine 
Nombre de demi-journées postées par semaine en médecins seniors]]-5</f>
        <v>35</v>
      </c>
      <c r="AR40">
        <v>36</v>
      </c>
      <c r="AS40" s="27">
        <f>ROUNDUP(Tableau4[[#This Row],[Nombre de consultations internes  ]]/30,0)</f>
        <v>2</v>
      </c>
    </row>
    <row r="41" spans="13:45" x14ac:dyDescent="0.35">
      <c r="M41">
        <v>37</v>
      </c>
      <c r="N41" s="16">
        <v>39</v>
      </c>
      <c r="O41" s="16">
        <f>base_HC[[#This Row],[Semaine 
Nombre de demi-journées postées par semaine en médecins seniors]]-5</f>
        <v>34</v>
      </c>
      <c r="P41" s="16">
        <f>base_HC[[#This Row],[Semaine 
Nombre de demi-journées postées par semaine en médecins seniors]]-5</f>
        <v>34</v>
      </c>
      <c r="Q41" s="16">
        <f>base_HC[[#This Row],[Semaine 
Nombre de demi-journées postées par semaine en médecins seniors]]-5</f>
        <v>34</v>
      </c>
      <c r="R41" s="16">
        <f>base_HC[[#This Row],[Semaine 
Nombre de demi-journées postées par semaine en médecins seniors]]-5</f>
        <v>34</v>
      </c>
      <c r="S41" s="16">
        <f>base_HC[[#This Row],[Semaine 
Nombre de demi-journées postées par semaine en médecins seniors]]-5</f>
        <v>34</v>
      </c>
      <c r="T41" s="16">
        <f>base_HC[[#This Row],[Semaine 
Nombre de demi-journées postées par semaine en médecins seniors]]-5</f>
        <v>34</v>
      </c>
      <c r="U41" s="16">
        <f>base_HC[[#This Row],[Semaine 
Nombre de demi-journées postées par semaine en médecins seniors]]-5</f>
        <v>34</v>
      </c>
      <c r="V41" s="16">
        <f>base_HC[[#This Row],[Semaine 
Nombre de demi-journées postées par semaine en médecins seniors]]-5</f>
        <v>34</v>
      </c>
      <c r="W41" s="16">
        <f>base_HC[[#This Row],[Semaine 
Nombre de demi-journées postées par semaine en médecins seniors]]-5</f>
        <v>34</v>
      </c>
      <c r="X41" s="16">
        <f>base_HC[[#This Row],[Semaine 
Nombre de demi-journées postées par semaine en médecins seniors]]-5</f>
        <v>34</v>
      </c>
      <c r="Y41" s="16">
        <f>base_HC[[#This Row],[Semaine 
Nombre de demi-journées postées par semaine en médecins seniors]]-5</f>
        <v>34</v>
      </c>
      <c r="Z41" s="16">
        <f>base_HC[[#This Row],[Semaine 
Nombre de demi-journées postées par semaine en médecins seniors]]-5</f>
        <v>34</v>
      </c>
      <c r="AA41" s="16">
        <f>base_HC[[#This Row],[Semaine 
Nombre de demi-journées postées par semaine en médecins seniors]]-5</f>
        <v>34</v>
      </c>
      <c r="AB41" s="16">
        <f>base_HC[[#This Row],[Semaine 
Nombre de demi-journées postées par semaine en médecins seniors]]-5</f>
        <v>34</v>
      </c>
      <c r="AC41" s="16">
        <f>base_HC[[#This Row],[Semaine 
Nombre de demi-journées postées par semaine en médecins seniors]]-5</f>
        <v>34</v>
      </c>
      <c r="AD41" s="16">
        <v>0</v>
      </c>
      <c r="AE41" s="16">
        <v>3</v>
      </c>
      <c r="AG41">
        <v>38</v>
      </c>
      <c r="AH41" s="43">
        <v>39</v>
      </c>
      <c r="AJ41">
        <v>38</v>
      </c>
      <c r="AK41" s="28">
        <v>40</v>
      </c>
      <c r="AL41" s="28">
        <f>base_HDJ[[#This Row],[Semaine 
Nombre de demi-journées postées par semaine en médecins seniors]]-5</f>
        <v>35</v>
      </c>
      <c r="AN41">
        <v>38</v>
      </c>
      <c r="AO41" s="28">
        <v>40</v>
      </c>
      <c r="AP41" s="28">
        <f>base_HDS[[#This Row],[Semaine 
Nombre de demi-journées postées par semaine en médecins seniors]]-5</f>
        <v>35</v>
      </c>
      <c r="AR41">
        <v>37</v>
      </c>
      <c r="AS41" s="27">
        <f>ROUNDUP(Tableau4[[#This Row],[Nombre de consultations internes  ]]/30,0)</f>
        <v>2</v>
      </c>
    </row>
    <row r="42" spans="13:45" x14ac:dyDescent="0.35">
      <c r="M42">
        <v>38</v>
      </c>
      <c r="N42" s="16">
        <v>39</v>
      </c>
      <c r="O42" s="16">
        <f>base_HC[[#This Row],[Semaine 
Nombre de demi-journées postées par semaine en médecins seniors]]-5</f>
        <v>34</v>
      </c>
      <c r="P42" s="16">
        <f>base_HC[[#This Row],[Semaine 
Nombre de demi-journées postées par semaine en médecins seniors]]-5</f>
        <v>34</v>
      </c>
      <c r="Q42" s="16">
        <f>base_HC[[#This Row],[Semaine 
Nombre de demi-journées postées par semaine en médecins seniors]]-5</f>
        <v>34</v>
      </c>
      <c r="R42" s="16">
        <f>base_HC[[#This Row],[Semaine 
Nombre de demi-journées postées par semaine en médecins seniors]]-5</f>
        <v>34</v>
      </c>
      <c r="S42" s="16">
        <f>base_HC[[#This Row],[Semaine 
Nombre de demi-journées postées par semaine en médecins seniors]]-5</f>
        <v>34</v>
      </c>
      <c r="T42" s="16">
        <f>base_HC[[#This Row],[Semaine 
Nombre de demi-journées postées par semaine en médecins seniors]]-5</f>
        <v>34</v>
      </c>
      <c r="U42" s="16">
        <f>base_HC[[#This Row],[Semaine 
Nombre de demi-journées postées par semaine en médecins seniors]]-5</f>
        <v>34</v>
      </c>
      <c r="V42" s="16">
        <f>base_HC[[#This Row],[Semaine 
Nombre de demi-journées postées par semaine en médecins seniors]]-5</f>
        <v>34</v>
      </c>
      <c r="W42" s="16">
        <f>base_HC[[#This Row],[Semaine 
Nombre de demi-journées postées par semaine en médecins seniors]]-5</f>
        <v>34</v>
      </c>
      <c r="X42" s="16">
        <f>base_HC[[#This Row],[Semaine 
Nombre de demi-journées postées par semaine en médecins seniors]]-5</f>
        <v>34</v>
      </c>
      <c r="Y42" s="16">
        <f>base_HC[[#This Row],[Semaine 
Nombre de demi-journées postées par semaine en médecins seniors]]-5</f>
        <v>34</v>
      </c>
      <c r="Z42" s="16">
        <f>base_HC[[#This Row],[Semaine 
Nombre de demi-journées postées par semaine en médecins seniors]]-5</f>
        <v>34</v>
      </c>
      <c r="AA42" s="16">
        <f>base_HC[[#This Row],[Semaine 
Nombre de demi-journées postées par semaine en médecins seniors]]-5</f>
        <v>34</v>
      </c>
      <c r="AB42" s="16">
        <f>base_HC[[#This Row],[Semaine 
Nombre de demi-journées postées par semaine en médecins seniors]]-5</f>
        <v>34</v>
      </c>
      <c r="AC42" s="16">
        <f>base_HC[[#This Row],[Semaine 
Nombre de demi-journées postées par semaine en médecins seniors]]-5</f>
        <v>34</v>
      </c>
      <c r="AD42" s="16">
        <v>0</v>
      </c>
      <c r="AE42" s="16">
        <v>3</v>
      </c>
      <c r="AG42">
        <v>39</v>
      </c>
      <c r="AH42" s="43">
        <v>39</v>
      </c>
      <c r="AJ42">
        <v>39</v>
      </c>
      <c r="AK42" s="28">
        <v>40</v>
      </c>
      <c r="AL42" s="28">
        <f>base_HDJ[[#This Row],[Semaine 
Nombre de demi-journées postées par semaine en médecins seniors]]-5</f>
        <v>35</v>
      </c>
      <c r="AN42">
        <v>39</v>
      </c>
      <c r="AO42" s="28">
        <v>40</v>
      </c>
      <c r="AP42" s="28">
        <f>base_HDS[[#This Row],[Semaine 
Nombre de demi-journées postées par semaine en médecins seniors]]-5</f>
        <v>35</v>
      </c>
      <c r="AR42">
        <v>38</v>
      </c>
      <c r="AS42" s="27">
        <f>ROUNDUP(Tableau4[[#This Row],[Nombre de consultations internes  ]]/30,0)</f>
        <v>2</v>
      </c>
    </row>
    <row r="43" spans="13:45" x14ac:dyDescent="0.35">
      <c r="M43">
        <v>39</v>
      </c>
      <c r="N43" s="16">
        <v>39</v>
      </c>
      <c r="O43" s="16">
        <f>base_HC[[#This Row],[Semaine 
Nombre de demi-journées postées par semaine en médecins seniors]]-5</f>
        <v>34</v>
      </c>
      <c r="P43" s="16">
        <f>base_HC[[#This Row],[Semaine 
Nombre de demi-journées postées par semaine en médecins seniors]]-5</f>
        <v>34</v>
      </c>
      <c r="Q43" s="16">
        <f>base_HC[[#This Row],[Semaine 
Nombre de demi-journées postées par semaine en médecins seniors]]-5</f>
        <v>34</v>
      </c>
      <c r="R43" s="16">
        <f>base_HC[[#This Row],[Semaine 
Nombre de demi-journées postées par semaine en médecins seniors]]-5</f>
        <v>34</v>
      </c>
      <c r="S43" s="16">
        <f>base_HC[[#This Row],[Semaine 
Nombre de demi-journées postées par semaine en médecins seniors]]-5</f>
        <v>34</v>
      </c>
      <c r="T43" s="16">
        <f>base_HC[[#This Row],[Semaine 
Nombre de demi-journées postées par semaine en médecins seniors]]-5</f>
        <v>34</v>
      </c>
      <c r="U43" s="16">
        <f>base_HC[[#This Row],[Semaine 
Nombre de demi-journées postées par semaine en médecins seniors]]-5</f>
        <v>34</v>
      </c>
      <c r="V43" s="16">
        <f>base_HC[[#This Row],[Semaine 
Nombre de demi-journées postées par semaine en médecins seniors]]-5</f>
        <v>34</v>
      </c>
      <c r="W43" s="16">
        <f>base_HC[[#This Row],[Semaine 
Nombre de demi-journées postées par semaine en médecins seniors]]-5</f>
        <v>34</v>
      </c>
      <c r="X43" s="16">
        <f>base_HC[[#This Row],[Semaine 
Nombre de demi-journées postées par semaine en médecins seniors]]-5</f>
        <v>34</v>
      </c>
      <c r="Y43" s="16">
        <f>base_HC[[#This Row],[Semaine 
Nombre de demi-journées postées par semaine en médecins seniors]]-5</f>
        <v>34</v>
      </c>
      <c r="Z43" s="16">
        <f>base_HC[[#This Row],[Semaine 
Nombre de demi-journées postées par semaine en médecins seniors]]-5</f>
        <v>34</v>
      </c>
      <c r="AA43" s="16">
        <f>base_HC[[#This Row],[Semaine 
Nombre de demi-journées postées par semaine en médecins seniors]]-5</f>
        <v>34</v>
      </c>
      <c r="AB43" s="16">
        <f>base_HC[[#This Row],[Semaine 
Nombre de demi-journées postées par semaine en médecins seniors]]-5</f>
        <v>34</v>
      </c>
      <c r="AC43" s="16">
        <f>base_HC[[#This Row],[Semaine 
Nombre de demi-journées postées par semaine en médecins seniors]]-5</f>
        <v>34</v>
      </c>
      <c r="AD43" s="16">
        <v>0</v>
      </c>
      <c r="AE43" s="16">
        <v>3</v>
      </c>
      <c r="AG43">
        <v>40</v>
      </c>
      <c r="AH43" s="43">
        <v>39</v>
      </c>
      <c r="AJ43">
        <v>40</v>
      </c>
      <c r="AK43" s="28">
        <v>40</v>
      </c>
      <c r="AL43" s="28">
        <f>base_HDJ[[#This Row],[Semaine 
Nombre de demi-journées postées par semaine en médecins seniors]]-5</f>
        <v>35</v>
      </c>
      <c r="AN43">
        <v>40</v>
      </c>
      <c r="AO43" s="28">
        <v>40</v>
      </c>
      <c r="AP43" s="28">
        <f>base_HDS[[#This Row],[Semaine 
Nombre de demi-journées postées par semaine en médecins seniors]]-5</f>
        <v>35</v>
      </c>
      <c r="AR43">
        <v>39</v>
      </c>
      <c r="AS43" s="27">
        <f>ROUNDUP(Tableau4[[#This Row],[Nombre de consultations internes  ]]/30,0)</f>
        <v>2</v>
      </c>
    </row>
    <row r="44" spans="13:45" x14ac:dyDescent="0.35">
      <c r="M44">
        <v>40</v>
      </c>
      <c r="N44" s="16">
        <v>39</v>
      </c>
      <c r="O44" s="16">
        <f>base_HC[[#This Row],[Semaine 
Nombre de demi-journées postées par semaine en médecins seniors]]-5</f>
        <v>34</v>
      </c>
      <c r="P44" s="16">
        <f>base_HC[[#This Row],[Semaine 
Nombre de demi-journées postées par semaine en médecins seniors]]-5</f>
        <v>34</v>
      </c>
      <c r="Q44" s="16">
        <f>base_HC[[#This Row],[Semaine 
Nombre de demi-journées postées par semaine en médecins seniors]]-5</f>
        <v>34</v>
      </c>
      <c r="R44" s="16">
        <f>base_HC[[#This Row],[Semaine 
Nombre de demi-journées postées par semaine en médecins seniors]]-5</f>
        <v>34</v>
      </c>
      <c r="S44" s="16">
        <f>base_HC[[#This Row],[Semaine 
Nombre de demi-journées postées par semaine en médecins seniors]]-5</f>
        <v>34</v>
      </c>
      <c r="T44" s="16">
        <f>base_HC[[#This Row],[Semaine 
Nombre de demi-journées postées par semaine en médecins seniors]]-5</f>
        <v>34</v>
      </c>
      <c r="U44" s="16">
        <f>base_HC[[#This Row],[Semaine 
Nombre de demi-journées postées par semaine en médecins seniors]]-5</f>
        <v>34</v>
      </c>
      <c r="V44" s="16">
        <f>base_HC[[#This Row],[Semaine 
Nombre de demi-journées postées par semaine en médecins seniors]]-5</f>
        <v>34</v>
      </c>
      <c r="W44" s="16">
        <f>base_HC[[#This Row],[Semaine 
Nombre de demi-journées postées par semaine en médecins seniors]]-5</f>
        <v>34</v>
      </c>
      <c r="X44" s="16">
        <f>base_HC[[#This Row],[Semaine 
Nombre de demi-journées postées par semaine en médecins seniors]]-5</f>
        <v>34</v>
      </c>
      <c r="Y44" s="16">
        <f>base_HC[[#This Row],[Semaine 
Nombre de demi-journées postées par semaine en médecins seniors]]-5</f>
        <v>34</v>
      </c>
      <c r="Z44" s="16">
        <f>base_HC[[#This Row],[Semaine 
Nombre de demi-journées postées par semaine en médecins seniors]]-5</f>
        <v>34</v>
      </c>
      <c r="AA44" s="16">
        <f>base_HC[[#This Row],[Semaine 
Nombre de demi-journées postées par semaine en médecins seniors]]-5</f>
        <v>34</v>
      </c>
      <c r="AB44" s="16">
        <f>base_HC[[#This Row],[Semaine 
Nombre de demi-journées postées par semaine en médecins seniors]]-5</f>
        <v>34</v>
      </c>
      <c r="AC44" s="16">
        <f>base_HC[[#This Row],[Semaine 
Nombre de demi-journées postées par semaine en médecins seniors]]-5</f>
        <v>34</v>
      </c>
      <c r="AD44" s="16">
        <v>0</v>
      </c>
      <c r="AE44" s="16">
        <v>3</v>
      </c>
      <c r="AG44">
        <v>41</v>
      </c>
      <c r="AH44" s="43">
        <v>39</v>
      </c>
      <c r="AJ44">
        <v>41</v>
      </c>
      <c r="AK44" s="28">
        <v>50</v>
      </c>
      <c r="AL44" s="28">
        <f>base_HDJ[[#This Row],[Semaine 
Nombre de demi-journées postées par semaine en médecins seniors]]-5</f>
        <v>45</v>
      </c>
      <c r="AN44">
        <v>41</v>
      </c>
      <c r="AO44" s="28">
        <v>50</v>
      </c>
      <c r="AP44" s="28">
        <f>base_HDS[[#This Row],[Semaine 
Nombre de demi-journées postées par semaine en médecins seniors]]-5</f>
        <v>45</v>
      </c>
      <c r="AR44">
        <v>40</v>
      </c>
      <c r="AS44" s="27">
        <f>ROUNDUP(Tableau4[[#This Row],[Nombre de consultations internes  ]]/30,0)</f>
        <v>2</v>
      </c>
    </row>
    <row r="45" spans="13:45" x14ac:dyDescent="0.35">
      <c r="M45">
        <v>41</v>
      </c>
      <c r="N45" s="16">
        <v>39</v>
      </c>
      <c r="O45" s="16">
        <f>base_HC[[#This Row],[Semaine 
Nombre de demi-journées postées par semaine en médecins seniors]]-5</f>
        <v>34</v>
      </c>
      <c r="P45" s="16">
        <f>base_HC[[#This Row],[Semaine 
Nombre de demi-journées postées par semaine en médecins seniors]]-5</f>
        <v>34</v>
      </c>
      <c r="Q45" s="16">
        <f>base_HC[[#This Row],[Semaine 
Nombre de demi-journées postées par semaine en médecins seniors]]-5</f>
        <v>34</v>
      </c>
      <c r="R45" s="16">
        <f>base_HC[[#This Row],[Semaine 
Nombre de demi-journées postées par semaine en médecins seniors]]-5</f>
        <v>34</v>
      </c>
      <c r="S45" s="16">
        <f>base_HC[[#This Row],[Semaine 
Nombre de demi-journées postées par semaine en médecins seniors]]-5</f>
        <v>34</v>
      </c>
      <c r="T45" s="16">
        <f>base_HC[[#This Row],[Semaine 
Nombre de demi-journées postées par semaine en médecins seniors]]-5</f>
        <v>34</v>
      </c>
      <c r="U45" s="16">
        <f>base_HC[[#This Row],[Semaine 
Nombre de demi-journées postées par semaine en médecins seniors]]-5</f>
        <v>34</v>
      </c>
      <c r="V45" s="16">
        <f>base_HC[[#This Row],[Semaine 
Nombre de demi-journées postées par semaine en médecins seniors]]-5</f>
        <v>34</v>
      </c>
      <c r="W45" s="16">
        <f>base_HC[[#This Row],[Semaine 
Nombre de demi-journées postées par semaine en médecins seniors]]-5</f>
        <v>34</v>
      </c>
      <c r="X45" s="16">
        <f>base_HC[[#This Row],[Semaine 
Nombre de demi-journées postées par semaine en médecins seniors]]-5</f>
        <v>34</v>
      </c>
      <c r="Y45" s="16">
        <f>base_HC[[#This Row],[Semaine 
Nombre de demi-journées postées par semaine en médecins seniors]]-5</f>
        <v>34</v>
      </c>
      <c r="Z45" s="16">
        <f>base_HC[[#This Row],[Semaine 
Nombre de demi-journées postées par semaine en médecins seniors]]-5</f>
        <v>34</v>
      </c>
      <c r="AA45" s="16">
        <f>base_HC[[#This Row],[Semaine 
Nombre de demi-journées postées par semaine en médecins seniors]]-5</f>
        <v>34</v>
      </c>
      <c r="AB45" s="16">
        <f>base_HC[[#This Row],[Semaine 
Nombre de demi-journées postées par semaine en médecins seniors]]-5</f>
        <v>34</v>
      </c>
      <c r="AC45" s="16">
        <f>base_HC[[#This Row],[Semaine 
Nombre de demi-journées postées par semaine en médecins seniors]]-5</f>
        <v>34</v>
      </c>
      <c r="AD45" s="16">
        <v>0</v>
      </c>
      <c r="AE45" s="16">
        <v>3</v>
      </c>
      <c r="AG45">
        <v>42</v>
      </c>
      <c r="AH45" s="43">
        <v>39</v>
      </c>
      <c r="AJ45">
        <v>42</v>
      </c>
      <c r="AK45" s="28">
        <v>50</v>
      </c>
      <c r="AL45" s="28">
        <f>base_HDJ[[#This Row],[Semaine 
Nombre de demi-journées postées par semaine en médecins seniors]]-5</f>
        <v>45</v>
      </c>
      <c r="AN45">
        <v>42</v>
      </c>
      <c r="AO45" s="28">
        <v>50</v>
      </c>
      <c r="AP45" s="28">
        <f>base_HDS[[#This Row],[Semaine 
Nombre de demi-journées postées par semaine en médecins seniors]]-5</f>
        <v>45</v>
      </c>
      <c r="AR45">
        <v>41</v>
      </c>
      <c r="AS45" s="27">
        <f>ROUNDUP(Tableau4[[#This Row],[Nombre de consultations internes  ]]/30,0)</f>
        <v>2</v>
      </c>
    </row>
    <row r="46" spans="13:45" x14ac:dyDescent="0.35">
      <c r="M46">
        <v>42</v>
      </c>
      <c r="N46" s="16">
        <v>39</v>
      </c>
      <c r="O46" s="16">
        <f>base_HC[[#This Row],[Semaine 
Nombre de demi-journées postées par semaine en médecins seniors]]-5</f>
        <v>34</v>
      </c>
      <c r="P46" s="16">
        <f>base_HC[[#This Row],[Semaine 
Nombre de demi-journées postées par semaine en médecins seniors]]-5</f>
        <v>34</v>
      </c>
      <c r="Q46" s="16">
        <f>base_HC[[#This Row],[Semaine 
Nombre de demi-journées postées par semaine en médecins seniors]]-5</f>
        <v>34</v>
      </c>
      <c r="R46" s="16">
        <f>base_HC[[#This Row],[Semaine 
Nombre de demi-journées postées par semaine en médecins seniors]]-5</f>
        <v>34</v>
      </c>
      <c r="S46" s="16">
        <f>base_HC[[#This Row],[Semaine 
Nombre de demi-journées postées par semaine en médecins seniors]]-5</f>
        <v>34</v>
      </c>
      <c r="T46" s="16">
        <f>base_HC[[#This Row],[Semaine 
Nombre de demi-journées postées par semaine en médecins seniors]]-5</f>
        <v>34</v>
      </c>
      <c r="U46" s="16">
        <f>base_HC[[#This Row],[Semaine 
Nombre de demi-journées postées par semaine en médecins seniors]]-5</f>
        <v>34</v>
      </c>
      <c r="V46" s="16">
        <f>base_HC[[#This Row],[Semaine 
Nombre de demi-journées postées par semaine en médecins seniors]]-5</f>
        <v>34</v>
      </c>
      <c r="W46" s="16">
        <f>base_HC[[#This Row],[Semaine 
Nombre de demi-journées postées par semaine en médecins seniors]]-5</f>
        <v>34</v>
      </c>
      <c r="X46" s="16">
        <f>base_HC[[#This Row],[Semaine 
Nombre de demi-journées postées par semaine en médecins seniors]]-5</f>
        <v>34</v>
      </c>
      <c r="Y46" s="16">
        <f>base_HC[[#This Row],[Semaine 
Nombre de demi-journées postées par semaine en médecins seniors]]-5</f>
        <v>34</v>
      </c>
      <c r="Z46" s="16">
        <f>base_HC[[#This Row],[Semaine 
Nombre de demi-journées postées par semaine en médecins seniors]]-5</f>
        <v>34</v>
      </c>
      <c r="AA46" s="16">
        <f>base_HC[[#This Row],[Semaine 
Nombre de demi-journées postées par semaine en médecins seniors]]-5</f>
        <v>34</v>
      </c>
      <c r="AB46" s="16">
        <f>base_HC[[#This Row],[Semaine 
Nombre de demi-journées postées par semaine en médecins seniors]]-5</f>
        <v>34</v>
      </c>
      <c r="AC46" s="16">
        <f>base_HC[[#This Row],[Semaine 
Nombre de demi-journées postées par semaine en médecins seniors]]-5</f>
        <v>34</v>
      </c>
      <c r="AD46" s="16">
        <v>0</v>
      </c>
      <c r="AE46" s="16">
        <v>3</v>
      </c>
      <c r="AG46">
        <v>43</v>
      </c>
      <c r="AH46" s="43">
        <v>44</v>
      </c>
      <c r="AJ46">
        <v>43</v>
      </c>
      <c r="AK46" s="28">
        <v>50</v>
      </c>
      <c r="AL46" s="28">
        <f>base_HDJ[[#This Row],[Semaine 
Nombre de demi-journées postées par semaine en médecins seniors]]-5</f>
        <v>45</v>
      </c>
      <c r="AN46">
        <v>43</v>
      </c>
      <c r="AO46" s="28">
        <v>50</v>
      </c>
      <c r="AP46" s="28">
        <f>base_HDS[[#This Row],[Semaine 
Nombre de demi-journées postées par semaine en médecins seniors]]-5</f>
        <v>45</v>
      </c>
      <c r="AR46">
        <v>42</v>
      </c>
      <c r="AS46" s="27">
        <f>ROUNDUP(Tableau4[[#This Row],[Nombre de consultations internes  ]]/30,0)</f>
        <v>2</v>
      </c>
    </row>
    <row r="47" spans="13:45" x14ac:dyDescent="0.35">
      <c r="M47">
        <v>43</v>
      </c>
      <c r="N47" s="16">
        <v>39</v>
      </c>
      <c r="O47" s="16">
        <f>base_HC[[#This Row],[Semaine 
Nombre de demi-journées postées par semaine en médecins seniors]]-5</f>
        <v>34</v>
      </c>
      <c r="P47" s="16">
        <f>base_HC[[#This Row],[Semaine 
Nombre de demi-journées postées par semaine en médecins seniors]]-5</f>
        <v>34</v>
      </c>
      <c r="Q47" s="16">
        <f>base_HC[[#This Row],[Semaine 
Nombre de demi-journées postées par semaine en médecins seniors]]-5</f>
        <v>34</v>
      </c>
      <c r="R47" s="16">
        <f>base_HC[[#This Row],[Semaine 
Nombre de demi-journées postées par semaine en médecins seniors]]-5</f>
        <v>34</v>
      </c>
      <c r="S47" s="16">
        <f>base_HC[[#This Row],[Semaine 
Nombre de demi-journées postées par semaine en médecins seniors]]-5</f>
        <v>34</v>
      </c>
      <c r="T47" s="16">
        <f>base_HC[[#This Row],[Semaine 
Nombre de demi-journées postées par semaine en médecins seniors]]-5</f>
        <v>34</v>
      </c>
      <c r="U47" s="16">
        <f>base_HC[[#This Row],[Semaine 
Nombre de demi-journées postées par semaine en médecins seniors]]-5</f>
        <v>34</v>
      </c>
      <c r="V47" s="16">
        <f>base_HC[[#This Row],[Semaine 
Nombre de demi-journées postées par semaine en médecins seniors]]-5</f>
        <v>34</v>
      </c>
      <c r="W47" s="16">
        <f>base_HC[[#This Row],[Semaine 
Nombre de demi-journées postées par semaine en médecins seniors]]-5</f>
        <v>34</v>
      </c>
      <c r="X47" s="16">
        <f>base_HC[[#This Row],[Semaine 
Nombre de demi-journées postées par semaine en médecins seniors]]-5</f>
        <v>34</v>
      </c>
      <c r="Y47" s="16">
        <f>base_HC[[#This Row],[Semaine 
Nombre de demi-journées postées par semaine en médecins seniors]]-5</f>
        <v>34</v>
      </c>
      <c r="Z47" s="16">
        <f>base_HC[[#This Row],[Semaine 
Nombre de demi-journées postées par semaine en médecins seniors]]-5</f>
        <v>34</v>
      </c>
      <c r="AA47" s="16">
        <f>base_HC[[#This Row],[Semaine 
Nombre de demi-journées postées par semaine en médecins seniors]]-5</f>
        <v>34</v>
      </c>
      <c r="AB47" s="16">
        <f>base_HC[[#This Row],[Semaine 
Nombre de demi-journées postées par semaine en médecins seniors]]-5</f>
        <v>34</v>
      </c>
      <c r="AC47" s="16">
        <f>base_HC[[#This Row],[Semaine 
Nombre de demi-journées postées par semaine en médecins seniors]]-5</f>
        <v>34</v>
      </c>
      <c r="AD47" s="16">
        <v>0</v>
      </c>
      <c r="AE47" s="16">
        <v>3</v>
      </c>
      <c r="AG47">
        <v>44</v>
      </c>
      <c r="AH47" s="43">
        <v>44</v>
      </c>
      <c r="AJ47">
        <v>44</v>
      </c>
      <c r="AK47" s="28">
        <v>50</v>
      </c>
      <c r="AL47" s="28">
        <f>base_HDJ[[#This Row],[Semaine 
Nombre de demi-journées postées par semaine en médecins seniors]]-5</f>
        <v>45</v>
      </c>
      <c r="AN47">
        <v>44</v>
      </c>
      <c r="AO47" s="28">
        <v>50</v>
      </c>
      <c r="AP47" s="28">
        <f>base_HDS[[#This Row],[Semaine 
Nombre de demi-journées postées par semaine en médecins seniors]]-5</f>
        <v>45</v>
      </c>
      <c r="AR47">
        <v>43</v>
      </c>
      <c r="AS47" s="27">
        <f>ROUNDUP(Tableau4[[#This Row],[Nombre de consultations internes  ]]/30,0)</f>
        <v>2</v>
      </c>
    </row>
    <row r="48" spans="13:45" x14ac:dyDescent="0.35">
      <c r="M48">
        <v>44</v>
      </c>
      <c r="N48" s="16">
        <v>44</v>
      </c>
      <c r="O48" s="16">
        <f>base_HC[[#This Row],[Semaine 
Nombre de demi-journées postées par semaine en médecins seniors]]-5</f>
        <v>39</v>
      </c>
      <c r="P48" s="16">
        <f>base_HC[[#This Row],[Semaine 
Nombre de demi-journées postées par semaine en médecins seniors]]-5</f>
        <v>39</v>
      </c>
      <c r="Q48" s="16">
        <f>base_HC[[#This Row],[Semaine (avec 1 internes)]]-5</f>
        <v>34</v>
      </c>
      <c r="R48" s="16">
        <f>base_HC[[#This Row],[Semaine (avec 1 internes)]]-5</f>
        <v>34</v>
      </c>
      <c r="S48" s="16">
        <f>base_HC[[#This Row],[Semaine (avec 1 internes)]]-5-6</f>
        <v>28</v>
      </c>
      <c r="T48" s="16">
        <f>base_HC[[#This Row],[Semaine (avec 1 internes)]]-5-6</f>
        <v>28</v>
      </c>
      <c r="U48" s="16">
        <f>base_HC[[#This Row],[Semaine (avec 1 internes)]]-5-6</f>
        <v>28</v>
      </c>
      <c r="V48" s="16">
        <f>base_HC[[#This Row],[Semaine (avec 1 internes)]]-5-6</f>
        <v>28</v>
      </c>
      <c r="W48" s="16">
        <f>base_HC[[#This Row],[Semaine (avec 1 internes)]]-5-6</f>
        <v>28</v>
      </c>
      <c r="X48" s="16">
        <f>base_HC[[#This Row],[Semaine (avec 1 internes)]]-5-6</f>
        <v>28</v>
      </c>
      <c r="Y48" s="16">
        <f>base_HC[[#This Row],[Semaine (avec 1 internes)]]-5-6</f>
        <v>28</v>
      </c>
      <c r="Z48" s="16">
        <f>base_HC[[#This Row],[Semaine (avec 1 internes)]]-5-6</f>
        <v>28</v>
      </c>
      <c r="AA48" s="16">
        <f>base_HC[[#This Row],[Semaine (avec 1 internes)]]-5-6</f>
        <v>28</v>
      </c>
      <c r="AB48" s="16">
        <f>base_HC[[#This Row],[Semaine (avec 1 internes)]]-5-6</f>
        <v>28</v>
      </c>
      <c r="AC48" s="16">
        <f>base_HC[[#This Row],[Semaine (avec 1 internes)]]-5-6</f>
        <v>28</v>
      </c>
      <c r="AD48" s="16">
        <v>0</v>
      </c>
      <c r="AE48" s="16">
        <v>4</v>
      </c>
      <c r="AG48">
        <v>45</v>
      </c>
      <c r="AH48" s="43">
        <v>44</v>
      </c>
      <c r="AJ48">
        <v>45</v>
      </c>
      <c r="AK48" s="28">
        <v>50</v>
      </c>
      <c r="AL48" s="28">
        <f>base_HDJ[[#This Row],[Semaine 
Nombre de demi-journées postées par semaine en médecins seniors]]-5</f>
        <v>45</v>
      </c>
      <c r="AN48">
        <v>45</v>
      </c>
      <c r="AO48" s="28">
        <v>50</v>
      </c>
      <c r="AP48" s="28">
        <f>base_HDS[[#This Row],[Semaine 
Nombre de demi-journées postées par semaine en médecins seniors]]-5</f>
        <v>45</v>
      </c>
      <c r="AR48">
        <v>44</v>
      </c>
      <c r="AS48" s="27">
        <f>ROUNDUP(Tableau4[[#This Row],[Nombre de consultations internes  ]]/30,0)</f>
        <v>2</v>
      </c>
    </row>
    <row r="49" spans="13:45" x14ac:dyDescent="0.35">
      <c r="M49">
        <v>45</v>
      </c>
      <c r="N49" s="16">
        <v>44</v>
      </c>
      <c r="O49" s="16">
        <f>base_HC[[#This Row],[Semaine 
Nombre de demi-journées postées par semaine en médecins seniors]]-5</f>
        <v>39</v>
      </c>
      <c r="P49" s="16">
        <f>base_HC[[#This Row],[Semaine 
Nombre de demi-journées postées par semaine en médecins seniors]]-5</f>
        <v>39</v>
      </c>
      <c r="Q49" s="16">
        <f>base_HC[[#This Row],[Semaine (avec 1 internes)]]-5</f>
        <v>34</v>
      </c>
      <c r="R49" s="16">
        <f>base_HC[[#This Row],[Semaine (avec 1 internes)]]-5</f>
        <v>34</v>
      </c>
      <c r="S49" s="16">
        <f>base_HC[[#This Row],[Semaine (avec 1 internes)]]-5-6</f>
        <v>28</v>
      </c>
      <c r="T49" s="16">
        <f>base_HC[[#This Row],[Semaine (avec 1 internes)]]-5-6</f>
        <v>28</v>
      </c>
      <c r="U49" s="16">
        <f>base_HC[[#This Row],[Semaine (avec 1 internes)]]-5-6</f>
        <v>28</v>
      </c>
      <c r="V49" s="16">
        <f>base_HC[[#This Row],[Semaine (avec 1 internes)]]-5-6</f>
        <v>28</v>
      </c>
      <c r="W49" s="16">
        <f>base_HC[[#This Row],[Semaine (avec 1 internes)]]-5-6</f>
        <v>28</v>
      </c>
      <c r="X49" s="16">
        <f>base_HC[[#This Row],[Semaine (avec 1 internes)]]-5-6</f>
        <v>28</v>
      </c>
      <c r="Y49" s="16">
        <f>base_HC[[#This Row],[Semaine (avec 1 internes)]]-5-6</f>
        <v>28</v>
      </c>
      <c r="Z49" s="16">
        <f>base_HC[[#This Row],[Semaine (avec 1 internes)]]-5-6</f>
        <v>28</v>
      </c>
      <c r="AA49" s="16">
        <f>base_HC[[#This Row],[Semaine (avec 1 internes)]]-5-6</f>
        <v>28</v>
      </c>
      <c r="AB49" s="16">
        <f>base_HC[[#This Row],[Semaine (avec 1 internes)]]-5-6</f>
        <v>28</v>
      </c>
      <c r="AC49" s="16">
        <f>base_HC[[#This Row],[Semaine (avec 1 internes)]]-5-6</f>
        <v>28</v>
      </c>
      <c r="AD49" s="16">
        <v>0</v>
      </c>
      <c r="AE49" s="16">
        <v>4</v>
      </c>
      <c r="AG49">
        <v>46</v>
      </c>
      <c r="AH49" s="43">
        <v>44</v>
      </c>
      <c r="AJ49">
        <v>46</v>
      </c>
      <c r="AK49" s="28">
        <v>50</v>
      </c>
      <c r="AL49" s="28">
        <f>base_HDJ[[#This Row],[Semaine 
Nombre de demi-journées postées par semaine en médecins seniors]]-5</f>
        <v>45</v>
      </c>
      <c r="AN49">
        <v>46</v>
      </c>
      <c r="AO49" s="28">
        <v>50</v>
      </c>
      <c r="AP49" s="28">
        <f>base_HDS[[#This Row],[Semaine 
Nombre de demi-journées postées par semaine en médecins seniors]]-5</f>
        <v>45</v>
      </c>
      <c r="AR49">
        <v>45</v>
      </c>
      <c r="AS49" s="27">
        <f>ROUNDUP(Tableau4[[#This Row],[Nombre de consultations internes  ]]/30,0)</f>
        <v>2</v>
      </c>
    </row>
    <row r="50" spans="13:45" x14ac:dyDescent="0.35">
      <c r="M50">
        <v>46</v>
      </c>
      <c r="N50" s="16">
        <v>44</v>
      </c>
      <c r="O50" s="16">
        <f>base_HC[[#This Row],[Semaine 
Nombre de demi-journées postées par semaine en médecins seniors]]-5</f>
        <v>39</v>
      </c>
      <c r="P50" s="16">
        <f>base_HC[[#This Row],[Semaine 
Nombre de demi-journées postées par semaine en médecins seniors]]-5</f>
        <v>39</v>
      </c>
      <c r="Q50" s="16">
        <f>base_HC[[#This Row],[Semaine (avec 1 internes)]]-5</f>
        <v>34</v>
      </c>
      <c r="R50" s="16">
        <f>base_HC[[#This Row],[Semaine (avec 1 internes)]]-5</f>
        <v>34</v>
      </c>
      <c r="S50" s="16">
        <f>base_HC[[#This Row],[Semaine (avec 1 internes)]]-5-6</f>
        <v>28</v>
      </c>
      <c r="T50" s="16">
        <f>base_HC[[#This Row],[Semaine (avec 1 internes)]]-5-6</f>
        <v>28</v>
      </c>
      <c r="U50" s="16">
        <f>base_HC[[#This Row],[Semaine (avec 1 internes)]]-5-6</f>
        <v>28</v>
      </c>
      <c r="V50" s="16">
        <f>base_HC[[#This Row],[Semaine (avec 1 internes)]]-5-6</f>
        <v>28</v>
      </c>
      <c r="W50" s="16">
        <f>base_HC[[#This Row],[Semaine (avec 1 internes)]]-5-6</f>
        <v>28</v>
      </c>
      <c r="X50" s="16">
        <f>base_HC[[#This Row],[Semaine (avec 1 internes)]]-5-6</f>
        <v>28</v>
      </c>
      <c r="Y50" s="16">
        <f>base_HC[[#This Row],[Semaine (avec 1 internes)]]-5-6</f>
        <v>28</v>
      </c>
      <c r="Z50" s="16">
        <f>base_HC[[#This Row],[Semaine (avec 1 internes)]]-5-6</f>
        <v>28</v>
      </c>
      <c r="AA50" s="16">
        <f>base_HC[[#This Row],[Semaine (avec 1 internes)]]-5-6</f>
        <v>28</v>
      </c>
      <c r="AB50" s="16">
        <f>base_HC[[#This Row],[Semaine (avec 1 internes)]]-5-6</f>
        <v>28</v>
      </c>
      <c r="AC50" s="16">
        <f>base_HC[[#This Row],[Semaine (avec 1 internes)]]-5-6</f>
        <v>28</v>
      </c>
      <c r="AD50" s="16">
        <v>0</v>
      </c>
      <c r="AE50" s="16">
        <v>4</v>
      </c>
      <c r="AG50">
        <v>47</v>
      </c>
      <c r="AH50" s="43">
        <v>44</v>
      </c>
      <c r="AJ50">
        <v>47</v>
      </c>
      <c r="AK50" s="28">
        <v>50</v>
      </c>
      <c r="AL50" s="28">
        <f>base_HDJ[[#This Row],[Semaine 
Nombre de demi-journées postées par semaine en médecins seniors]]-5</f>
        <v>45</v>
      </c>
      <c r="AN50">
        <v>47</v>
      </c>
      <c r="AO50" s="28">
        <v>50</v>
      </c>
      <c r="AP50" s="28">
        <f>base_HDS[[#This Row],[Semaine 
Nombre de demi-journées postées par semaine en médecins seniors]]-5</f>
        <v>45</v>
      </c>
      <c r="AR50">
        <v>46</v>
      </c>
      <c r="AS50" s="27">
        <f>ROUNDUP(Tableau4[[#This Row],[Nombre de consultations internes  ]]/30,0)</f>
        <v>2</v>
      </c>
    </row>
    <row r="51" spans="13:45" x14ac:dyDescent="0.35">
      <c r="M51">
        <v>47</v>
      </c>
      <c r="N51" s="16">
        <v>44</v>
      </c>
      <c r="O51" s="16">
        <f>base_HC[[#This Row],[Semaine 
Nombre de demi-journées postées par semaine en médecins seniors]]-5</f>
        <v>39</v>
      </c>
      <c r="P51" s="16">
        <f>base_HC[[#This Row],[Semaine 
Nombre de demi-journées postées par semaine en médecins seniors]]-5</f>
        <v>39</v>
      </c>
      <c r="Q51" s="16">
        <f>base_HC[[#This Row],[Semaine (avec 1 internes)]]-5</f>
        <v>34</v>
      </c>
      <c r="R51" s="16">
        <f>base_HC[[#This Row],[Semaine (avec 1 internes)]]-5</f>
        <v>34</v>
      </c>
      <c r="S51" s="16">
        <f>base_HC[[#This Row],[Semaine (avec 1 internes)]]-5-6</f>
        <v>28</v>
      </c>
      <c r="T51" s="16">
        <f>base_HC[[#This Row],[Semaine (avec 1 internes)]]-5-6</f>
        <v>28</v>
      </c>
      <c r="U51" s="16">
        <f>base_HC[[#This Row],[Semaine (avec 1 internes)]]-5-6</f>
        <v>28</v>
      </c>
      <c r="V51" s="16">
        <f>base_HC[[#This Row],[Semaine (avec 1 internes)]]-5-6</f>
        <v>28</v>
      </c>
      <c r="W51" s="16">
        <f>base_HC[[#This Row],[Semaine (avec 1 internes)]]-5-6</f>
        <v>28</v>
      </c>
      <c r="X51" s="16">
        <f>base_HC[[#This Row],[Semaine (avec 1 internes)]]-5-6</f>
        <v>28</v>
      </c>
      <c r="Y51" s="16">
        <f>base_HC[[#This Row],[Semaine (avec 1 internes)]]-5-6</f>
        <v>28</v>
      </c>
      <c r="Z51" s="16">
        <f>base_HC[[#This Row],[Semaine (avec 1 internes)]]-5-6</f>
        <v>28</v>
      </c>
      <c r="AA51" s="16">
        <f>base_HC[[#This Row],[Semaine (avec 1 internes)]]-5-6</f>
        <v>28</v>
      </c>
      <c r="AB51" s="16">
        <f>base_HC[[#This Row],[Semaine (avec 1 internes)]]-5-6</f>
        <v>28</v>
      </c>
      <c r="AC51" s="16">
        <f>base_HC[[#This Row],[Semaine (avec 1 internes)]]-5-6</f>
        <v>28</v>
      </c>
      <c r="AD51" s="16">
        <v>0</v>
      </c>
      <c r="AE51" s="16">
        <v>4</v>
      </c>
      <c r="AG51">
        <v>48</v>
      </c>
      <c r="AH51" s="43">
        <v>44</v>
      </c>
      <c r="AJ51">
        <v>48</v>
      </c>
      <c r="AK51" s="28">
        <v>50</v>
      </c>
      <c r="AL51" s="28">
        <f>base_HDJ[[#This Row],[Semaine 
Nombre de demi-journées postées par semaine en médecins seniors]]-5</f>
        <v>45</v>
      </c>
      <c r="AN51">
        <v>48</v>
      </c>
      <c r="AO51" s="28">
        <v>50</v>
      </c>
      <c r="AP51" s="28">
        <f>base_HDS[[#This Row],[Semaine 
Nombre de demi-journées postées par semaine en médecins seniors]]-5</f>
        <v>45</v>
      </c>
      <c r="AR51">
        <v>47</v>
      </c>
      <c r="AS51" s="27">
        <f>ROUNDUP(Tableau4[[#This Row],[Nombre de consultations internes  ]]/30,0)</f>
        <v>2</v>
      </c>
    </row>
    <row r="52" spans="13:45" x14ac:dyDescent="0.35">
      <c r="M52">
        <v>48</v>
      </c>
      <c r="N52" s="16">
        <v>44</v>
      </c>
      <c r="O52" s="16">
        <f>base_HC[[#This Row],[Semaine 
Nombre de demi-journées postées par semaine en médecins seniors]]-5</f>
        <v>39</v>
      </c>
      <c r="P52" s="16">
        <f>base_HC[[#This Row],[Semaine 
Nombre de demi-journées postées par semaine en médecins seniors]]-5</f>
        <v>39</v>
      </c>
      <c r="Q52" s="16">
        <f>base_HC[[#This Row],[Semaine (avec 1 internes)]]-5</f>
        <v>34</v>
      </c>
      <c r="R52" s="16">
        <f>base_HC[[#This Row],[Semaine (avec 1 internes)]]-5</f>
        <v>34</v>
      </c>
      <c r="S52" s="16">
        <f>base_HC[[#This Row],[Semaine (avec 1 internes)]]-5-6</f>
        <v>28</v>
      </c>
      <c r="T52" s="16">
        <f>base_HC[[#This Row],[Semaine (avec 1 internes)]]-5-6</f>
        <v>28</v>
      </c>
      <c r="U52" s="16">
        <f>base_HC[[#This Row],[Semaine (avec 1 internes)]]-5-6</f>
        <v>28</v>
      </c>
      <c r="V52" s="16">
        <f>base_HC[[#This Row],[Semaine (avec 1 internes)]]-5-6</f>
        <v>28</v>
      </c>
      <c r="W52" s="16">
        <f>base_HC[[#This Row],[Semaine (avec 1 internes)]]-5-6</f>
        <v>28</v>
      </c>
      <c r="X52" s="16">
        <f>base_HC[[#This Row],[Semaine (avec 1 internes)]]-5-6</f>
        <v>28</v>
      </c>
      <c r="Y52" s="16">
        <f>base_HC[[#This Row],[Semaine (avec 1 internes)]]-5-6</f>
        <v>28</v>
      </c>
      <c r="Z52" s="16">
        <f>base_HC[[#This Row],[Semaine (avec 1 internes)]]-5-6</f>
        <v>28</v>
      </c>
      <c r="AA52" s="16">
        <f>base_HC[[#This Row],[Semaine (avec 1 internes)]]-5-6</f>
        <v>28</v>
      </c>
      <c r="AB52" s="16">
        <f>base_HC[[#This Row],[Semaine (avec 1 internes)]]-5-6</f>
        <v>28</v>
      </c>
      <c r="AC52" s="16">
        <f>base_HC[[#This Row],[Semaine (avec 1 internes)]]-5-6</f>
        <v>28</v>
      </c>
      <c r="AD52" s="16">
        <v>0</v>
      </c>
      <c r="AE52" s="16">
        <v>4</v>
      </c>
      <c r="AH52" s="43"/>
      <c r="AJ52">
        <v>49</v>
      </c>
      <c r="AK52" s="28">
        <v>50</v>
      </c>
      <c r="AL52" s="28">
        <f>base_HDJ[[#This Row],[Semaine 
Nombre de demi-journées postées par semaine en médecins seniors]]-5</f>
        <v>45</v>
      </c>
      <c r="AN52">
        <v>49</v>
      </c>
      <c r="AO52" s="28">
        <v>50</v>
      </c>
      <c r="AP52" s="28">
        <f>base_HDS[[#This Row],[Semaine 
Nombre de demi-journées postées par semaine en médecins seniors]]-5</f>
        <v>45</v>
      </c>
      <c r="AR52">
        <v>48</v>
      </c>
      <c r="AS52" s="27">
        <f>ROUNDUP(Tableau4[[#This Row],[Nombre de consultations internes  ]]/30,0)</f>
        <v>2</v>
      </c>
    </row>
    <row r="53" spans="13:45" x14ac:dyDescent="0.35">
      <c r="M53">
        <v>49</v>
      </c>
      <c r="N53" s="16">
        <v>50</v>
      </c>
      <c r="O53" s="16">
        <f>base_HC[[#This Row],[Semaine 
Nombre de demi-journées postées par semaine en médecins seniors]]-5</f>
        <v>45</v>
      </c>
      <c r="P53" s="16">
        <f>base_HC[[#This Row],[Semaine 
Nombre de demi-journées postées par semaine en médecins seniors]]-5</f>
        <v>45</v>
      </c>
      <c r="Q53" s="16">
        <f>base_HC[[#This Row],[Semaine (avec 1 internes)]]-5</f>
        <v>40</v>
      </c>
      <c r="R53" s="16">
        <f>base_HC[[#This Row],[Semaine (avec 1 internes)]]-5</f>
        <v>40</v>
      </c>
      <c r="S53" s="16">
        <f>base_HC[[#This Row],[Semaine (avec 1 internes)]]-5-6</f>
        <v>34</v>
      </c>
      <c r="T53" s="16">
        <f>base_HC[[#This Row],[Semaine (avec 1 internes)]]-5-6</f>
        <v>34</v>
      </c>
      <c r="U53" s="16">
        <f>base_HC[[#This Row],[Semaine (avec 1 internes)]]-5-6</f>
        <v>34</v>
      </c>
      <c r="V53" s="16">
        <f>base_HC[[#This Row],[Semaine (avec 1 internes)]]-5-6</f>
        <v>34</v>
      </c>
      <c r="W53" s="16">
        <f>base_HC[[#This Row],[Semaine (avec 1 internes)]]-5-6</f>
        <v>34</v>
      </c>
      <c r="X53" s="16">
        <f>base_HC[[#This Row],[Semaine (avec 1 internes)]]-5-6</f>
        <v>34</v>
      </c>
      <c r="Y53" s="16">
        <f>base_HC[[#This Row],[Semaine (avec 1 internes)]]-5-6</f>
        <v>34</v>
      </c>
      <c r="Z53" s="16">
        <f>base_HC[[#This Row],[Semaine (avec 1 internes)]]-5-6</f>
        <v>34</v>
      </c>
      <c r="AA53" s="16">
        <f>base_HC[[#This Row],[Semaine (avec 1 internes)]]-5-6</f>
        <v>34</v>
      </c>
      <c r="AB53" s="16">
        <f>base_HC[[#This Row],[Semaine (avec 1 internes)]]-5-6</f>
        <v>34</v>
      </c>
      <c r="AC53" s="16">
        <f>base_HC[[#This Row],[Semaine (avec 1 internes)]]-5-6</f>
        <v>34</v>
      </c>
      <c r="AD53" s="16">
        <v>0</v>
      </c>
      <c r="AE53" s="16">
        <v>4</v>
      </c>
      <c r="AH53" s="43"/>
      <c r="AJ53">
        <v>50</v>
      </c>
      <c r="AK53" s="28">
        <v>50</v>
      </c>
      <c r="AL53" s="28">
        <f>base_HDJ[[#This Row],[Semaine 
Nombre de demi-journées postées par semaine en médecins seniors]]-5</f>
        <v>45</v>
      </c>
      <c r="AN53">
        <v>50</v>
      </c>
      <c r="AO53" s="28">
        <v>50</v>
      </c>
      <c r="AP53" s="28">
        <f>base_HDS[[#This Row],[Semaine 
Nombre de demi-journées postées par semaine en médecins seniors]]-5</f>
        <v>45</v>
      </c>
      <c r="AR53">
        <v>49</v>
      </c>
      <c r="AS53" s="27">
        <f>ROUNDUP(Tableau4[[#This Row],[Nombre de consultations internes  ]]/30,0)</f>
        <v>2</v>
      </c>
    </row>
    <row r="54" spans="13:45" x14ac:dyDescent="0.35">
      <c r="M54">
        <v>50</v>
      </c>
      <c r="N54" s="16">
        <v>50</v>
      </c>
      <c r="O54" s="16">
        <f>base_HC[[#This Row],[Semaine 
Nombre de demi-journées postées par semaine en médecins seniors]]-5</f>
        <v>45</v>
      </c>
      <c r="P54" s="16">
        <f>base_HC[[#This Row],[Semaine 
Nombre de demi-journées postées par semaine en médecins seniors]]-5</f>
        <v>45</v>
      </c>
      <c r="Q54" s="16">
        <f>base_HC[[#This Row],[Semaine (avec 1 internes)]]-5</f>
        <v>40</v>
      </c>
      <c r="R54" s="16">
        <f>base_HC[[#This Row],[Semaine (avec 1 internes)]]-5</f>
        <v>40</v>
      </c>
      <c r="S54" s="16">
        <f>base_HC[[#This Row],[Semaine (avec 1 internes)]]-5-6</f>
        <v>34</v>
      </c>
      <c r="T54" s="16">
        <f>base_HC[[#This Row],[Semaine (avec 1 internes)]]-5-6</f>
        <v>34</v>
      </c>
      <c r="U54" s="16">
        <f>base_HC[[#This Row],[Semaine (avec 1 internes)]]-5-6</f>
        <v>34</v>
      </c>
      <c r="V54" s="16">
        <f>base_HC[[#This Row],[Semaine (avec 1 internes)]]-5-6</f>
        <v>34</v>
      </c>
      <c r="W54" s="16">
        <f>base_HC[[#This Row],[Semaine (avec 1 internes)]]-5-6</f>
        <v>34</v>
      </c>
      <c r="X54" s="16">
        <f>base_HC[[#This Row],[Semaine (avec 1 internes)]]-5-6</f>
        <v>34</v>
      </c>
      <c r="Y54" s="16">
        <f>base_HC[[#This Row],[Semaine (avec 1 internes)]]-5-6</f>
        <v>34</v>
      </c>
      <c r="Z54" s="16">
        <f>base_HC[[#This Row],[Semaine (avec 1 internes)]]-5-6</f>
        <v>34</v>
      </c>
      <c r="AA54" s="16">
        <f>base_HC[[#This Row],[Semaine (avec 1 internes)]]-5-6</f>
        <v>34</v>
      </c>
      <c r="AB54" s="16">
        <f>base_HC[[#This Row],[Semaine (avec 1 internes)]]-5-6</f>
        <v>34</v>
      </c>
      <c r="AC54" s="16">
        <f>base_HC[[#This Row],[Semaine (avec 1 internes)]]-5-6</f>
        <v>34</v>
      </c>
      <c r="AD54" s="16">
        <v>0</v>
      </c>
      <c r="AE54" s="16">
        <v>4</v>
      </c>
      <c r="AH54" s="43"/>
      <c r="AJ54">
        <v>51</v>
      </c>
      <c r="AK54" s="28">
        <v>50</v>
      </c>
      <c r="AL54" s="28">
        <f>base_HDJ[[#This Row],[Semaine 
Nombre de demi-journées postées par semaine en médecins seniors]]-5</f>
        <v>45</v>
      </c>
      <c r="AN54">
        <v>51</v>
      </c>
      <c r="AO54" s="28">
        <v>50</v>
      </c>
      <c r="AP54" s="28">
        <f>base_HDS[[#This Row],[Semaine 
Nombre de demi-journées postées par semaine en médecins seniors]]-5</f>
        <v>45</v>
      </c>
      <c r="AR54">
        <v>50</v>
      </c>
      <c r="AS54" s="27">
        <f>ROUNDUP(Tableau4[[#This Row],[Nombre de consultations internes  ]]/30,0)</f>
        <v>2</v>
      </c>
    </row>
    <row r="55" spans="13:45" x14ac:dyDescent="0.35">
      <c r="M55">
        <v>51</v>
      </c>
      <c r="N55" s="16">
        <v>50</v>
      </c>
      <c r="O55" s="16">
        <f>base_HC[[#This Row],[Semaine 
Nombre de demi-journées postées par semaine en médecins seniors]]-5</f>
        <v>45</v>
      </c>
      <c r="P55" s="16">
        <f>base_HC[[#This Row],[Semaine 
Nombre de demi-journées postées par semaine en médecins seniors]]-5</f>
        <v>45</v>
      </c>
      <c r="Q55" s="16">
        <f>base_HC[[#This Row],[Semaine (avec 1 internes)]]-5</f>
        <v>40</v>
      </c>
      <c r="R55" s="16">
        <f>base_HC[[#This Row],[Semaine (avec 1 internes)]]-5</f>
        <v>40</v>
      </c>
      <c r="S55" s="16">
        <f>base_HC[[#This Row],[Semaine (avec 1 internes)]]-5-6</f>
        <v>34</v>
      </c>
      <c r="T55" s="16">
        <f>base_HC[[#This Row],[Semaine (avec 1 internes)]]-5-6</f>
        <v>34</v>
      </c>
      <c r="U55" s="16">
        <f>base_HC[[#This Row],[Semaine (avec 1 internes)]]-5-6</f>
        <v>34</v>
      </c>
      <c r="V55" s="16">
        <f>base_HC[[#This Row],[Semaine (avec 1 internes)]]-5-6</f>
        <v>34</v>
      </c>
      <c r="W55" s="16">
        <f>base_HC[[#This Row],[Semaine (avec 1 internes)]]-5-6</f>
        <v>34</v>
      </c>
      <c r="X55" s="16">
        <f>base_HC[[#This Row],[Semaine (avec 1 internes)]]-5-6</f>
        <v>34</v>
      </c>
      <c r="Y55" s="16">
        <f>base_HC[[#This Row],[Semaine (avec 1 internes)]]-5-6</f>
        <v>34</v>
      </c>
      <c r="Z55" s="16">
        <f>base_HC[[#This Row],[Semaine (avec 1 internes)]]-5-6</f>
        <v>34</v>
      </c>
      <c r="AA55" s="16">
        <f>base_HC[[#This Row],[Semaine (avec 1 internes)]]-5-6</f>
        <v>34</v>
      </c>
      <c r="AB55" s="16">
        <f>base_HC[[#This Row],[Semaine (avec 1 internes)]]-5-6</f>
        <v>34</v>
      </c>
      <c r="AC55" s="16">
        <f>base_HC[[#This Row],[Semaine (avec 1 internes)]]-5-6</f>
        <v>34</v>
      </c>
      <c r="AD55" s="16">
        <v>0</v>
      </c>
      <c r="AE55" s="16">
        <v>4</v>
      </c>
      <c r="AH55" s="43"/>
      <c r="AJ55">
        <v>52</v>
      </c>
      <c r="AK55" s="28">
        <v>50</v>
      </c>
      <c r="AL55" s="28">
        <f>base_HDJ[[#This Row],[Semaine 
Nombre de demi-journées postées par semaine en médecins seniors]]-5</f>
        <v>45</v>
      </c>
      <c r="AN55">
        <v>52</v>
      </c>
      <c r="AO55" s="28">
        <v>50</v>
      </c>
      <c r="AP55" s="28">
        <f>base_HDS[[#This Row],[Semaine 
Nombre de demi-journées postées par semaine en médecins seniors]]-5</f>
        <v>45</v>
      </c>
      <c r="AR55">
        <v>51</v>
      </c>
      <c r="AS55" s="27">
        <f>ROUNDUP(Tableau4[[#This Row],[Nombre de consultations internes  ]]/30,0)</f>
        <v>2</v>
      </c>
    </row>
    <row r="56" spans="13:45" x14ac:dyDescent="0.35">
      <c r="M56">
        <v>52</v>
      </c>
      <c r="N56" s="16">
        <v>50</v>
      </c>
      <c r="O56" s="16">
        <f>base_HC[[#This Row],[Semaine 
Nombre de demi-journées postées par semaine en médecins seniors]]-5</f>
        <v>45</v>
      </c>
      <c r="P56" s="16">
        <f>base_HC[[#This Row],[Semaine 
Nombre de demi-journées postées par semaine en médecins seniors]]-5</f>
        <v>45</v>
      </c>
      <c r="Q56" s="16">
        <f>base_HC[[#This Row],[Semaine (avec 1 internes)]]-5</f>
        <v>40</v>
      </c>
      <c r="R56" s="16">
        <f>base_HC[[#This Row],[Semaine (avec 1 internes)]]-5</f>
        <v>40</v>
      </c>
      <c r="S56" s="16">
        <f>base_HC[[#This Row],[Semaine (avec 1 internes)]]-5-6</f>
        <v>34</v>
      </c>
      <c r="T56" s="16">
        <f>base_HC[[#This Row],[Semaine (avec 1 internes)]]-5-6</f>
        <v>34</v>
      </c>
      <c r="U56" s="16">
        <f>base_HC[[#This Row],[Semaine (avec 1 internes)]]-5-6</f>
        <v>34</v>
      </c>
      <c r="V56" s="16">
        <f>base_HC[[#This Row],[Semaine (avec 1 internes)]]-5-6</f>
        <v>34</v>
      </c>
      <c r="W56" s="16">
        <f>base_HC[[#This Row],[Semaine (avec 1 internes)]]-5-6</f>
        <v>34</v>
      </c>
      <c r="X56" s="16">
        <f>base_HC[[#This Row],[Semaine (avec 1 internes)]]-5-6</f>
        <v>34</v>
      </c>
      <c r="Y56" s="16">
        <f>base_HC[[#This Row],[Semaine (avec 1 internes)]]-5-6</f>
        <v>34</v>
      </c>
      <c r="Z56" s="16">
        <f>base_HC[[#This Row],[Semaine (avec 1 internes)]]-5-6</f>
        <v>34</v>
      </c>
      <c r="AA56" s="16">
        <f>base_HC[[#This Row],[Semaine (avec 1 internes)]]-5-6</f>
        <v>34</v>
      </c>
      <c r="AB56" s="16">
        <f>base_HC[[#This Row],[Semaine (avec 1 internes)]]-5-6</f>
        <v>34</v>
      </c>
      <c r="AC56" s="16">
        <f>base_HC[[#This Row],[Semaine (avec 1 internes)]]-5-6</f>
        <v>34</v>
      </c>
      <c r="AD56" s="16">
        <v>0</v>
      </c>
      <c r="AE56" s="16">
        <v>4</v>
      </c>
      <c r="AH56" s="43"/>
      <c r="AJ56">
        <v>53</v>
      </c>
      <c r="AK56" s="28">
        <v>50</v>
      </c>
      <c r="AL56" s="28">
        <f>base_HDJ[[#This Row],[Semaine 
Nombre de demi-journées postées par semaine en médecins seniors]]-5</f>
        <v>45</v>
      </c>
      <c r="AN56">
        <v>53</v>
      </c>
      <c r="AO56" s="28">
        <v>50</v>
      </c>
      <c r="AP56" s="28">
        <f>base_HDS[[#This Row],[Semaine 
Nombre de demi-journées postées par semaine en médecins seniors]]-5</f>
        <v>45</v>
      </c>
      <c r="AR56">
        <v>52</v>
      </c>
      <c r="AS56" s="27">
        <f>ROUNDUP(Tableau4[[#This Row],[Nombre de consultations internes  ]]/30,0)</f>
        <v>2</v>
      </c>
    </row>
    <row r="57" spans="13:45" x14ac:dyDescent="0.35">
      <c r="M57">
        <v>53</v>
      </c>
      <c r="N57" s="16">
        <v>50</v>
      </c>
      <c r="O57" s="16">
        <f>base_HC[[#This Row],[Semaine 
Nombre de demi-journées postées par semaine en médecins seniors]]-5</f>
        <v>45</v>
      </c>
      <c r="P57" s="16">
        <f>base_HC[[#This Row],[Semaine 
Nombre de demi-journées postées par semaine en médecins seniors]]-5</f>
        <v>45</v>
      </c>
      <c r="Q57" s="16">
        <f>base_HC[[#This Row],[Semaine (avec 1 internes)]]-5</f>
        <v>40</v>
      </c>
      <c r="R57" s="16">
        <f>base_HC[[#This Row],[Semaine (avec 1 internes)]]-5</f>
        <v>40</v>
      </c>
      <c r="S57" s="16">
        <f>base_HC[[#This Row],[Semaine (avec 1 internes)]]-5-6</f>
        <v>34</v>
      </c>
      <c r="T57" s="16">
        <f>base_HC[[#This Row],[Semaine (avec 1 internes)]]-5-6</f>
        <v>34</v>
      </c>
      <c r="U57" s="16">
        <f>base_HC[[#This Row],[Semaine (avec 1 internes)]]-5-6</f>
        <v>34</v>
      </c>
      <c r="V57" s="16">
        <f>base_HC[[#This Row],[Semaine (avec 1 internes)]]-5-6</f>
        <v>34</v>
      </c>
      <c r="W57" s="16">
        <f>base_HC[[#This Row],[Semaine (avec 1 internes)]]-5-6</f>
        <v>34</v>
      </c>
      <c r="X57" s="16">
        <f>base_HC[[#This Row],[Semaine (avec 1 internes)]]-5-6</f>
        <v>34</v>
      </c>
      <c r="Y57" s="16">
        <f>base_HC[[#This Row],[Semaine (avec 1 internes)]]-5-6</f>
        <v>34</v>
      </c>
      <c r="Z57" s="16">
        <f>base_HC[[#This Row],[Semaine (avec 1 internes)]]-5-6</f>
        <v>34</v>
      </c>
      <c r="AA57" s="16">
        <f>base_HC[[#This Row],[Semaine (avec 1 internes)]]-5-6</f>
        <v>34</v>
      </c>
      <c r="AB57" s="16">
        <f>base_HC[[#This Row],[Semaine (avec 1 internes)]]-5-6</f>
        <v>34</v>
      </c>
      <c r="AC57" s="16">
        <f>base_HC[[#This Row],[Semaine (avec 1 internes)]]-5-6</f>
        <v>34</v>
      </c>
      <c r="AD57" s="16">
        <v>0</v>
      </c>
      <c r="AE57" s="16">
        <v>4</v>
      </c>
      <c r="AH57" s="43"/>
      <c r="AJ57">
        <v>54</v>
      </c>
      <c r="AK57" s="28">
        <v>50</v>
      </c>
      <c r="AL57" s="28">
        <f>base_HDJ[[#This Row],[Semaine 
Nombre de demi-journées postées par semaine en médecins seniors]]-5</f>
        <v>45</v>
      </c>
      <c r="AN57">
        <v>54</v>
      </c>
      <c r="AO57" s="28">
        <v>50</v>
      </c>
      <c r="AP57" s="28">
        <f>base_HDS[[#This Row],[Semaine 
Nombre de demi-journées postées par semaine en médecins seniors]]-5</f>
        <v>45</v>
      </c>
      <c r="AR57">
        <v>53</v>
      </c>
      <c r="AS57" s="27">
        <f>ROUNDUP(Tableau4[[#This Row],[Nombre de consultations internes  ]]/30,0)</f>
        <v>2</v>
      </c>
    </row>
    <row r="58" spans="13:45" x14ac:dyDescent="0.35">
      <c r="M58">
        <v>54</v>
      </c>
      <c r="N58" s="16">
        <v>50</v>
      </c>
      <c r="O58" s="16">
        <f>base_HC[[#This Row],[Semaine 
Nombre de demi-journées postées par semaine en médecins seniors]]-5</f>
        <v>45</v>
      </c>
      <c r="P58" s="16">
        <f>base_HC[[#This Row],[Semaine 
Nombre de demi-journées postées par semaine en médecins seniors]]-5</f>
        <v>45</v>
      </c>
      <c r="Q58" s="16">
        <f>base_HC[[#This Row],[Semaine (avec 1 internes)]]-5</f>
        <v>40</v>
      </c>
      <c r="R58" s="16">
        <f>base_HC[[#This Row],[Semaine (avec 1 internes)]]-5</f>
        <v>40</v>
      </c>
      <c r="S58" s="16">
        <f>base_HC[[#This Row],[Semaine (avec 1 internes)]]-5-6</f>
        <v>34</v>
      </c>
      <c r="T58" s="16">
        <f>base_HC[[#This Row],[Semaine (avec 1 internes)]]-5-6</f>
        <v>34</v>
      </c>
      <c r="U58" s="16">
        <f>base_HC[[#This Row],[Semaine (avec 1 internes)]]-5-6</f>
        <v>34</v>
      </c>
      <c r="V58" s="16">
        <f>base_HC[[#This Row],[Semaine (avec 1 internes)]]-5-6</f>
        <v>34</v>
      </c>
      <c r="W58" s="16">
        <f>base_HC[[#This Row],[Semaine (avec 1 internes)]]-5-6</f>
        <v>34</v>
      </c>
      <c r="X58" s="16">
        <f>base_HC[[#This Row],[Semaine (avec 1 internes)]]-5-6</f>
        <v>34</v>
      </c>
      <c r="Y58" s="16">
        <f>base_HC[[#This Row],[Semaine (avec 1 internes)]]-5-6</f>
        <v>34</v>
      </c>
      <c r="Z58" s="16">
        <f>base_HC[[#This Row],[Semaine (avec 1 internes)]]-5-6</f>
        <v>34</v>
      </c>
      <c r="AA58" s="16">
        <f>base_HC[[#This Row],[Semaine (avec 1 internes)]]-5-6</f>
        <v>34</v>
      </c>
      <c r="AB58" s="16">
        <f>base_HC[[#This Row],[Semaine (avec 1 internes)]]-5-6</f>
        <v>34</v>
      </c>
      <c r="AC58" s="16">
        <f>base_HC[[#This Row],[Semaine (avec 1 internes)]]-5-6</f>
        <v>34</v>
      </c>
      <c r="AD58" s="16">
        <v>0</v>
      </c>
      <c r="AE58" s="16">
        <v>4</v>
      </c>
      <c r="AH58" s="43"/>
      <c r="AJ58">
        <v>55</v>
      </c>
      <c r="AK58" s="28">
        <v>50</v>
      </c>
      <c r="AL58" s="28">
        <f>base_HDJ[[#This Row],[Semaine 
Nombre de demi-journées postées par semaine en médecins seniors]]-5</f>
        <v>45</v>
      </c>
      <c r="AN58">
        <v>55</v>
      </c>
      <c r="AO58" s="28">
        <v>50</v>
      </c>
      <c r="AP58" s="28">
        <f>base_HDS[[#This Row],[Semaine 
Nombre de demi-journées postées par semaine en médecins seniors]]-5</f>
        <v>45</v>
      </c>
      <c r="AR58">
        <v>54</v>
      </c>
      <c r="AS58" s="27">
        <f>ROUNDUP(Tableau4[[#This Row],[Nombre de consultations internes  ]]/30,0)</f>
        <v>2</v>
      </c>
    </row>
    <row r="59" spans="13:45" x14ac:dyDescent="0.35">
      <c r="M59">
        <v>55</v>
      </c>
      <c r="N59" s="16">
        <v>50</v>
      </c>
      <c r="O59" s="16">
        <f>base_HC[[#This Row],[Semaine 
Nombre de demi-journées postées par semaine en médecins seniors]]-5</f>
        <v>45</v>
      </c>
      <c r="P59" s="16">
        <f>base_HC[[#This Row],[Semaine 
Nombre de demi-journées postées par semaine en médecins seniors]]-5</f>
        <v>45</v>
      </c>
      <c r="Q59" s="16">
        <f>base_HC[[#This Row],[Semaine (avec 1 internes)]]-5</f>
        <v>40</v>
      </c>
      <c r="R59" s="16">
        <f>base_HC[[#This Row],[Semaine (avec 1 internes)]]-5</f>
        <v>40</v>
      </c>
      <c r="S59" s="16">
        <f>base_HC[[#This Row],[Semaine (avec 1 internes)]]-5-6</f>
        <v>34</v>
      </c>
      <c r="T59" s="16">
        <f>base_HC[[#This Row],[Semaine (avec 1 internes)]]-5-6</f>
        <v>34</v>
      </c>
      <c r="U59" s="16">
        <f>base_HC[[#This Row],[Semaine (avec 1 internes)]]-5-6</f>
        <v>34</v>
      </c>
      <c r="V59" s="16">
        <f>base_HC[[#This Row],[Semaine (avec 1 internes)]]-5-6</f>
        <v>34</v>
      </c>
      <c r="W59" s="16">
        <f>base_HC[[#This Row],[Semaine (avec 1 internes)]]-5-6</f>
        <v>34</v>
      </c>
      <c r="X59" s="16">
        <f>base_HC[[#This Row],[Semaine (avec 1 internes)]]-5-6</f>
        <v>34</v>
      </c>
      <c r="Y59" s="16">
        <f>base_HC[[#This Row],[Semaine (avec 1 internes)]]-5-6</f>
        <v>34</v>
      </c>
      <c r="Z59" s="16">
        <f>base_HC[[#This Row],[Semaine (avec 1 internes)]]-5-6</f>
        <v>34</v>
      </c>
      <c r="AA59" s="16">
        <f>base_HC[[#This Row],[Semaine (avec 1 internes)]]-5-6</f>
        <v>34</v>
      </c>
      <c r="AB59" s="16">
        <f>base_HC[[#This Row],[Semaine (avec 1 internes)]]-5-6</f>
        <v>34</v>
      </c>
      <c r="AC59" s="16">
        <f>base_HC[[#This Row],[Semaine (avec 1 internes)]]-5-6</f>
        <v>34</v>
      </c>
      <c r="AD59" s="16">
        <v>0</v>
      </c>
      <c r="AE59" s="16">
        <v>4</v>
      </c>
      <c r="AH59" s="43"/>
      <c r="AJ59">
        <v>56</v>
      </c>
      <c r="AK59" s="28">
        <v>50</v>
      </c>
      <c r="AL59" s="28">
        <f>base_HDJ[[#This Row],[Semaine 
Nombre de demi-journées postées par semaine en médecins seniors]]-5</f>
        <v>45</v>
      </c>
      <c r="AN59">
        <v>56</v>
      </c>
      <c r="AO59" s="28">
        <v>50</v>
      </c>
      <c r="AP59" s="28">
        <f>base_HDS[[#This Row],[Semaine 
Nombre de demi-journées postées par semaine en médecins seniors]]-5</f>
        <v>45</v>
      </c>
      <c r="AR59">
        <v>55</v>
      </c>
      <c r="AS59" s="27">
        <f>ROUNDUP(Tableau4[[#This Row],[Nombre de consultations internes  ]]/30,0)</f>
        <v>2</v>
      </c>
    </row>
    <row r="60" spans="13:45" x14ac:dyDescent="0.35">
      <c r="M60">
        <v>56</v>
      </c>
      <c r="N60" s="16">
        <v>55</v>
      </c>
      <c r="O60" s="16">
        <f>base_HC[[#This Row],[Semaine 
Nombre de demi-journées postées par semaine en médecins seniors]]-5</f>
        <v>50</v>
      </c>
      <c r="P60" s="16">
        <f>base_HC[[#This Row],[Semaine 
Nombre de demi-journées postées par semaine en médecins seniors]]-5</f>
        <v>50</v>
      </c>
      <c r="Q60" s="16">
        <f>base_HC[[#This Row],[Semaine (avec 1 internes)]]-5</f>
        <v>45</v>
      </c>
      <c r="R60" s="16">
        <f>base_HC[[#This Row],[Semaine (avec 1 internes)]]-5</f>
        <v>45</v>
      </c>
      <c r="S60" s="16">
        <f>base_HC[[#This Row],[Semaine (avec 1 internes)]]-5-6</f>
        <v>39</v>
      </c>
      <c r="T60" s="16">
        <f>base_HC[[#This Row],[Semaine (avec 1 internes)]]-5-6</f>
        <v>39</v>
      </c>
      <c r="U60" s="16">
        <f>base_HC[[#This Row],[Semaine (avec 1 internes)]]-5-6</f>
        <v>39</v>
      </c>
      <c r="V60" s="16">
        <f>base_HC[[#This Row],[Semaine (avec 1 internes)]]-5-6</f>
        <v>39</v>
      </c>
      <c r="W60" s="16">
        <f>base_HC[[#This Row],[Semaine (avec 1 internes)]]-5-6</f>
        <v>39</v>
      </c>
      <c r="X60" s="16">
        <f>base_HC[[#This Row],[Semaine (avec 1 internes)]]-5-6</f>
        <v>39</v>
      </c>
      <c r="Y60" s="16">
        <f>base_HC[[#This Row],[Semaine (avec 1 internes)]]-5-6</f>
        <v>39</v>
      </c>
      <c r="Z60" s="16">
        <f>base_HC[[#This Row],[Semaine (avec 1 internes)]]-5-6</f>
        <v>39</v>
      </c>
      <c r="AA60" s="16">
        <f>base_HC[[#This Row],[Semaine (avec 1 internes)]]-5-6</f>
        <v>39</v>
      </c>
      <c r="AB60" s="16">
        <f>base_HC[[#This Row],[Semaine (avec 1 internes)]]-5-6</f>
        <v>39</v>
      </c>
      <c r="AC60" s="16">
        <f>base_HC[[#This Row],[Semaine (avec 1 internes)]]-5-6</f>
        <v>39</v>
      </c>
      <c r="AD60" s="16">
        <v>0</v>
      </c>
      <c r="AE60" s="16">
        <v>5</v>
      </c>
      <c r="AH60" s="43"/>
      <c r="AJ60">
        <v>57</v>
      </c>
      <c r="AK60" s="28">
        <v>50</v>
      </c>
      <c r="AL60" s="28">
        <f>base_HDJ[[#This Row],[Semaine 
Nombre de demi-journées postées par semaine en médecins seniors]]-5</f>
        <v>45</v>
      </c>
      <c r="AN60">
        <v>57</v>
      </c>
      <c r="AO60" s="28">
        <v>50</v>
      </c>
      <c r="AP60" s="28">
        <f>base_HDS[[#This Row],[Semaine 
Nombre de demi-journées postées par semaine en médecins seniors]]-5</f>
        <v>45</v>
      </c>
      <c r="AR60">
        <v>56</v>
      </c>
      <c r="AS60" s="27">
        <f>ROUNDUP(Tableau4[[#This Row],[Nombre de consultations internes  ]]/30,0)</f>
        <v>2</v>
      </c>
    </row>
    <row r="61" spans="13:45" x14ac:dyDescent="0.35">
      <c r="M61">
        <v>57</v>
      </c>
      <c r="N61" s="16">
        <v>55</v>
      </c>
      <c r="O61" s="16">
        <f>base_HC[[#This Row],[Semaine 
Nombre de demi-journées postées par semaine en médecins seniors]]-5</f>
        <v>50</v>
      </c>
      <c r="P61" s="16">
        <f>base_HC[[#This Row],[Semaine 
Nombre de demi-journées postées par semaine en médecins seniors]]-5</f>
        <v>50</v>
      </c>
      <c r="Q61" s="16">
        <f>base_HC[[#This Row],[Semaine (avec 1 internes)]]-5</f>
        <v>45</v>
      </c>
      <c r="R61" s="16">
        <f>base_HC[[#This Row],[Semaine (avec 1 internes)]]-5</f>
        <v>45</v>
      </c>
      <c r="S61" s="16">
        <f>base_HC[[#This Row],[Semaine (avec 1 internes)]]-5-6</f>
        <v>39</v>
      </c>
      <c r="T61" s="16">
        <f>base_HC[[#This Row],[Semaine (avec 1 internes)]]-5-6</f>
        <v>39</v>
      </c>
      <c r="U61" s="16">
        <f>base_HC[[#This Row],[Semaine (avec 1 internes)]]-5-6</f>
        <v>39</v>
      </c>
      <c r="V61" s="16">
        <f>base_HC[[#This Row],[Semaine (avec 1 internes)]]-5-6</f>
        <v>39</v>
      </c>
      <c r="W61" s="16">
        <f>base_HC[[#This Row],[Semaine (avec 1 internes)]]-5-6</f>
        <v>39</v>
      </c>
      <c r="X61" s="16">
        <f>base_HC[[#This Row],[Semaine (avec 1 internes)]]-5-6</f>
        <v>39</v>
      </c>
      <c r="Y61" s="16">
        <f>base_HC[[#This Row],[Semaine (avec 1 internes)]]-5-6</f>
        <v>39</v>
      </c>
      <c r="Z61" s="16">
        <f>base_HC[[#This Row],[Semaine (avec 1 internes)]]-5-6</f>
        <v>39</v>
      </c>
      <c r="AA61" s="16">
        <f>base_HC[[#This Row],[Semaine (avec 1 internes)]]-5-6</f>
        <v>39</v>
      </c>
      <c r="AB61" s="16">
        <f>base_HC[[#This Row],[Semaine (avec 1 internes)]]-5-6</f>
        <v>39</v>
      </c>
      <c r="AC61" s="16">
        <f>base_HC[[#This Row],[Semaine (avec 1 internes)]]-5-6</f>
        <v>39</v>
      </c>
      <c r="AD61" s="16">
        <v>0</v>
      </c>
      <c r="AE61" s="16">
        <v>5</v>
      </c>
      <c r="AH61" s="43"/>
      <c r="AJ61">
        <v>58</v>
      </c>
      <c r="AK61" s="28">
        <v>50</v>
      </c>
      <c r="AL61" s="28">
        <f>base_HDJ[[#This Row],[Semaine 
Nombre de demi-journées postées par semaine en médecins seniors]]-5</f>
        <v>45</v>
      </c>
      <c r="AN61">
        <v>58</v>
      </c>
      <c r="AO61" s="28">
        <v>50</v>
      </c>
      <c r="AP61" s="28">
        <f>base_HDS[[#This Row],[Semaine 
Nombre de demi-journées postées par semaine en médecins seniors]]-5</f>
        <v>45</v>
      </c>
      <c r="AR61">
        <v>57</v>
      </c>
      <c r="AS61" s="27">
        <f>ROUNDUP(Tableau4[[#This Row],[Nombre de consultations internes  ]]/30,0)</f>
        <v>2</v>
      </c>
    </row>
    <row r="62" spans="13:45" x14ac:dyDescent="0.35">
      <c r="M62">
        <v>58</v>
      </c>
      <c r="N62" s="16">
        <v>55</v>
      </c>
      <c r="O62" s="16">
        <f>base_HC[[#This Row],[Semaine 
Nombre de demi-journées postées par semaine en médecins seniors]]-5</f>
        <v>50</v>
      </c>
      <c r="P62" s="16">
        <f>base_HC[[#This Row],[Semaine 
Nombre de demi-journées postées par semaine en médecins seniors]]-5</f>
        <v>50</v>
      </c>
      <c r="Q62" s="16">
        <f>base_HC[[#This Row],[Semaine (avec 1 internes)]]-5</f>
        <v>45</v>
      </c>
      <c r="R62" s="16">
        <f>base_HC[[#This Row],[Semaine (avec 1 internes)]]-5</f>
        <v>45</v>
      </c>
      <c r="S62" s="16">
        <f>base_HC[[#This Row],[Semaine (avec 1 internes)]]-5-6</f>
        <v>39</v>
      </c>
      <c r="T62" s="16">
        <f>base_HC[[#This Row],[Semaine (avec 1 internes)]]-5-6</f>
        <v>39</v>
      </c>
      <c r="U62" s="16">
        <f>base_HC[[#This Row],[Semaine (avec 1 internes)]]-5-6</f>
        <v>39</v>
      </c>
      <c r="V62" s="16">
        <f>base_HC[[#This Row],[Semaine (avec 1 internes)]]-5-6</f>
        <v>39</v>
      </c>
      <c r="W62" s="16">
        <f>base_HC[[#This Row],[Semaine (avec 1 internes)]]-5-6</f>
        <v>39</v>
      </c>
      <c r="X62" s="16">
        <f>base_HC[[#This Row],[Semaine (avec 1 internes)]]-5-6</f>
        <v>39</v>
      </c>
      <c r="Y62" s="16">
        <f>base_HC[[#This Row],[Semaine (avec 1 internes)]]-5-6</f>
        <v>39</v>
      </c>
      <c r="Z62" s="16">
        <f>base_HC[[#This Row],[Semaine (avec 1 internes)]]-5-6</f>
        <v>39</v>
      </c>
      <c r="AA62" s="16">
        <f>base_HC[[#This Row],[Semaine (avec 1 internes)]]-5-6</f>
        <v>39</v>
      </c>
      <c r="AB62" s="16">
        <f>base_HC[[#This Row],[Semaine (avec 1 internes)]]-5-6</f>
        <v>39</v>
      </c>
      <c r="AC62" s="16">
        <f>base_HC[[#This Row],[Semaine (avec 1 internes)]]-5-6</f>
        <v>39</v>
      </c>
      <c r="AD62" s="16">
        <v>0</v>
      </c>
      <c r="AE62" s="16">
        <v>5</v>
      </c>
      <c r="AH62" s="43"/>
      <c r="AJ62">
        <v>59</v>
      </c>
      <c r="AK62" s="28">
        <v>50</v>
      </c>
      <c r="AL62" s="28">
        <f>base_HDJ[[#This Row],[Semaine 
Nombre de demi-journées postées par semaine en médecins seniors]]-5</f>
        <v>45</v>
      </c>
      <c r="AN62">
        <v>59</v>
      </c>
      <c r="AO62" s="28">
        <v>50</v>
      </c>
      <c r="AP62" s="28">
        <f>base_HDS[[#This Row],[Semaine 
Nombre de demi-journées postées par semaine en médecins seniors]]-5</f>
        <v>45</v>
      </c>
      <c r="AR62">
        <v>58</v>
      </c>
      <c r="AS62" s="27">
        <f>ROUNDUP(Tableau4[[#This Row],[Nombre de consultations internes  ]]/30,0)</f>
        <v>2</v>
      </c>
    </row>
    <row r="63" spans="13:45" x14ac:dyDescent="0.35">
      <c r="M63">
        <v>59</v>
      </c>
      <c r="N63" s="16">
        <v>55</v>
      </c>
      <c r="O63" s="16">
        <f>base_HC[[#This Row],[Semaine 
Nombre de demi-journées postées par semaine en médecins seniors]]-5</f>
        <v>50</v>
      </c>
      <c r="P63" s="16">
        <f>base_HC[[#This Row],[Semaine 
Nombre de demi-journées postées par semaine en médecins seniors]]-5</f>
        <v>50</v>
      </c>
      <c r="Q63" s="16">
        <f>base_HC[[#This Row],[Semaine (avec 1 internes)]]-5</f>
        <v>45</v>
      </c>
      <c r="R63" s="16">
        <f>base_HC[[#This Row],[Semaine (avec 1 internes)]]-5</f>
        <v>45</v>
      </c>
      <c r="S63" s="16">
        <f>base_HC[[#This Row],[Semaine (avec 1 internes)]]-5-6</f>
        <v>39</v>
      </c>
      <c r="T63" s="16">
        <f>base_HC[[#This Row],[Semaine (avec 1 internes)]]-5-6</f>
        <v>39</v>
      </c>
      <c r="U63" s="16">
        <f>base_HC[[#This Row],[Semaine (avec 1 internes)]]-5-6</f>
        <v>39</v>
      </c>
      <c r="V63" s="16">
        <f>base_HC[[#This Row],[Semaine (avec 1 internes)]]-5-6</f>
        <v>39</v>
      </c>
      <c r="W63" s="16">
        <f>base_HC[[#This Row],[Semaine (avec 1 internes)]]-5-6</f>
        <v>39</v>
      </c>
      <c r="X63" s="16">
        <f>base_HC[[#This Row],[Semaine (avec 1 internes)]]-5-6</f>
        <v>39</v>
      </c>
      <c r="Y63" s="16">
        <f>base_HC[[#This Row],[Semaine (avec 1 internes)]]-5-6</f>
        <v>39</v>
      </c>
      <c r="Z63" s="16">
        <f>base_HC[[#This Row],[Semaine (avec 1 internes)]]-5-6</f>
        <v>39</v>
      </c>
      <c r="AA63" s="16">
        <f>base_HC[[#This Row],[Semaine (avec 1 internes)]]-5-6</f>
        <v>39</v>
      </c>
      <c r="AB63" s="16">
        <f>base_HC[[#This Row],[Semaine (avec 1 internes)]]-5-6</f>
        <v>39</v>
      </c>
      <c r="AC63" s="16">
        <f>base_HC[[#This Row],[Semaine (avec 1 internes)]]-5-6</f>
        <v>39</v>
      </c>
      <c r="AD63" s="16">
        <v>0</v>
      </c>
      <c r="AE63" s="16">
        <v>5</v>
      </c>
      <c r="AH63" s="43"/>
      <c r="AJ63">
        <v>60</v>
      </c>
      <c r="AK63" s="28">
        <v>50</v>
      </c>
      <c r="AL63" s="28">
        <f>base_HDJ[[#This Row],[Semaine 
Nombre de demi-journées postées par semaine en médecins seniors]]-5</f>
        <v>45</v>
      </c>
      <c r="AN63">
        <v>60</v>
      </c>
      <c r="AO63" s="28">
        <v>50</v>
      </c>
      <c r="AP63" s="28">
        <f>base_HDS[[#This Row],[Semaine 
Nombre de demi-journées postées par semaine en médecins seniors]]-5</f>
        <v>45</v>
      </c>
      <c r="AR63">
        <v>59</v>
      </c>
      <c r="AS63" s="27">
        <f>ROUNDUP(Tableau4[[#This Row],[Nombre de consultations internes  ]]/30,0)</f>
        <v>2</v>
      </c>
    </row>
    <row r="64" spans="13:45" x14ac:dyDescent="0.35">
      <c r="M64">
        <v>60</v>
      </c>
      <c r="N64" s="16">
        <v>55</v>
      </c>
      <c r="O64" s="16">
        <f>base_HC[[#This Row],[Semaine 
Nombre de demi-journées postées par semaine en médecins seniors]]-5</f>
        <v>50</v>
      </c>
      <c r="P64" s="16">
        <f>base_HC[[#This Row],[Semaine 
Nombre de demi-journées postées par semaine en médecins seniors]]-5</f>
        <v>50</v>
      </c>
      <c r="Q64" s="16">
        <f>base_HC[[#This Row],[Semaine (avec 1 internes)]]-5</f>
        <v>45</v>
      </c>
      <c r="R64" s="16">
        <f>base_HC[[#This Row],[Semaine (avec 1 internes)]]-5</f>
        <v>45</v>
      </c>
      <c r="S64" s="16">
        <f>base_HC[[#This Row],[Semaine (avec 1 internes)]]-5-6</f>
        <v>39</v>
      </c>
      <c r="T64" s="16">
        <f>base_HC[[#This Row],[Semaine (avec 1 internes)]]-5-6</f>
        <v>39</v>
      </c>
      <c r="U64" s="16">
        <f>base_HC[[#This Row],[Semaine (avec 1 internes)]]-5-6</f>
        <v>39</v>
      </c>
      <c r="V64" s="16">
        <f>base_HC[[#This Row],[Semaine (avec 1 internes)]]-5-6</f>
        <v>39</v>
      </c>
      <c r="W64" s="16">
        <f>base_HC[[#This Row],[Semaine (avec 1 internes)]]-5-6</f>
        <v>39</v>
      </c>
      <c r="X64" s="16">
        <f>base_HC[[#This Row],[Semaine (avec 1 internes)]]-5-6</f>
        <v>39</v>
      </c>
      <c r="Y64" s="16">
        <f>base_HC[[#This Row],[Semaine (avec 1 internes)]]-5-6</f>
        <v>39</v>
      </c>
      <c r="Z64" s="16">
        <f>base_HC[[#This Row],[Semaine (avec 1 internes)]]-5-6</f>
        <v>39</v>
      </c>
      <c r="AA64" s="16">
        <f>base_HC[[#This Row],[Semaine (avec 1 internes)]]-5-6</f>
        <v>39</v>
      </c>
      <c r="AB64" s="16">
        <f>base_HC[[#This Row],[Semaine (avec 1 internes)]]-5-6</f>
        <v>39</v>
      </c>
      <c r="AC64" s="16">
        <f>base_HC[[#This Row],[Semaine (avec 1 internes)]]-5-6</f>
        <v>39</v>
      </c>
      <c r="AD64" s="16">
        <v>0</v>
      </c>
      <c r="AE64" s="16">
        <v>5</v>
      </c>
      <c r="AH64" s="43"/>
      <c r="AJ64">
        <v>61</v>
      </c>
      <c r="AK64" s="28">
        <v>60</v>
      </c>
      <c r="AL64" s="28">
        <f>base_HDJ[[#This Row],[Semaine 
Nombre de demi-journées postées par semaine en médecins seniors]]-5</f>
        <v>55</v>
      </c>
      <c r="AN64">
        <v>61</v>
      </c>
      <c r="AO64" s="28">
        <v>60</v>
      </c>
      <c r="AP64" s="28">
        <f>base_HDS[[#This Row],[Semaine 
Nombre de demi-journées postées par semaine en médecins seniors]]-5</f>
        <v>55</v>
      </c>
      <c r="AR64">
        <v>60</v>
      </c>
      <c r="AS64" s="27">
        <f>ROUNDUP(Tableau4[[#This Row],[Nombre de consultations internes  ]]/30,0)</f>
        <v>2</v>
      </c>
    </row>
    <row r="65" spans="13:45" x14ac:dyDescent="0.35">
      <c r="M65">
        <v>61</v>
      </c>
      <c r="N65" s="16">
        <v>61</v>
      </c>
      <c r="O65" s="16">
        <f>base_HC[[#This Row],[Semaine 
Nombre de demi-journées postées par semaine en médecins seniors]]-5</f>
        <v>56</v>
      </c>
      <c r="P65" s="16">
        <f>base_HC[[#This Row],[Semaine 
Nombre de demi-journées postées par semaine en médecins seniors]]-5</f>
        <v>56</v>
      </c>
      <c r="Q65" s="16">
        <f>base_HC[[#This Row],[Semaine (avec 1 internes)]]-5</f>
        <v>51</v>
      </c>
      <c r="R65" s="16">
        <f>base_HC[[#This Row],[Semaine (avec 1 internes)]]-5</f>
        <v>51</v>
      </c>
      <c r="S65" s="16">
        <f>base_HC[[#This Row],[Semaine (avec 1 internes)]]-5-6</f>
        <v>45</v>
      </c>
      <c r="T65" s="16">
        <f>base_HC[[#This Row],[Semaine (avec 1 internes)]]-5-6</f>
        <v>45</v>
      </c>
      <c r="U65" s="16">
        <f>base_HC[[#This Row],[Semaine (avec 1 internes)]]-5-6</f>
        <v>45</v>
      </c>
      <c r="V65" s="16">
        <f>base_HC[[#This Row],[Semaine (avec 1 internes)]]-5-6</f>
        <v>45</v>
      </c>
      <c r="W65" s="16">
        <f>base_HC[[#This Row],[Semaine (avec 1 internes)]]-5-6</f>
        <v>45</v>
      </c>
      <c r="X65" s="16">
        <f>base_HC[[#This Row],[Semaine (avec 1 internes)]]-5-6</f>
        <v>45</v>
      </c>
      <c r="Y65" s="16">
        <f>base_HC[[#This Row],[Semaine (avec 1 internes)]]-5-6</f>
        <v>45</v>
      </c>
      <c r="Z65" s="16">
        <f>base_HC[[#This Row],[Semaine (avec 1 internes)]]-5-6</f>
        <v>45</v>
      </c>
      <c r="AA65" s="16">
        <f>base_HC[[#This Row],[Semaine (avec 1 internes)]]-5-6</f>
        <v>45</v>
      </c>
      <c r="AB65" s="16">
        <f>base_HC[[#This Row],[Semaine (avec 1 internes)]]-5-6</f>
        <v>45</v>
      </c>
      <c r="AC65" s="16">
        <f>base_HC[[#This Row],[Semaine (avec 1 internes)]]-5-6</f>
        <v>45</v>
      </c>
      <c r="AD65" s="16">
        <v>0</v>
      </c>
      <c r="AE65" s="16">
        <v>5</v>
      </c>
      <c r="AH65" s="43"/>
      <c r="AJ65">
        <v>62</v>
      </c>
      <c r="AK65" s="28">
        <v>60</v>
      </c>
      <c r="AL65" s="28">
        <f>base_HDJ[[#This Row],[Semaine 
Nombre de demi-journées postées par semaine en médecins seniors]]-5</f>
        <v>55</v>
      </c>
      <c r="AN65">
        <v>62</v>
      </c>
      <c r="AO65" s="28">
        <v>60</v>
      </c>
      <c r="AP65" s="28">
        <f>base_HDS[[#This Row],[Semaine 
Nombre de demi-journées postées par semaine en médecins seniors]]-5</f>
        <v>55</v>
      </c>
      <c r="AR65">
        <v>61</v>
      </c>
      <c r="AS65" s="27">
        <f>ROUNDUP(Tableau4[[#This Row],[Nombre de consultations internes  ]]/30,0)</f>
        <v>3</v>
      </c>
    </row>
    <row r="66" spans="13:45" x14ac:dyDescent="0.35">
      <c r="M66">
        <v>62</v>
      </c>
      <c r="N66" s="16">
        <v>61</v>
      </c>
      <c r="O66" s="16">
        <f>base_HC[[#This Row],[Semaine 
Nombre de demi-journées postées par semaine en médecins seniors]]-5</f>
        <v>56</v>
      </c>
      <c r="P66" s="16">
        <f>base_HC[[#This Row],[Semaine 
Nombre de demi-journées postées par semaine en médecins seniors]]-5</f>
        <v>56</v>
      </c>
      <c r="Q66" s="16">
        <f>base_HC[[#This Row],[Semaine (avec 1 internes)]]-5</f>
        <v>51</v>
      </c>
      <c r="R66" s="16">
        <f>base_HC[[#This Row],[Semaine (avec 1 internes)]]-5</f>
        <v>51</v>
      </c>
      <c r="S66" s="16">
        <f>base_HC[[#This Row],[Semaine (avec 1 internes)]]-5-6</f>
        <v>45</v>
      </c>
      <c r="T66" s="16">
        <f>base_HC[[#This Row],[Semaine (avec 1 internes)]]-5-6</f>
        <v>45</v>
      </c>
      <c r="U66" s="16">
        <f>base_HC[[#This Row],[Semaine (avec 1 internes)]]-5-6</f>
        <v>45</v>
      </c>
      <c r="V66" s="16">
        <f>base_HC[[#This Row],[Semaine (avec 1 internes)]]-5-6</f>
        <v>45</v>
      </c>
      <c r="W66" s="16">
        <f>base_HC[[#This Row],[Semaine (avec 1 internes)]]-5-6</f>
        <v>45</v>
      </c>
      <c r="X66" s="16">
        <f>base_HC[[#This Row],[Semaine (avec 1 internes)]]-5-6</f>
        <v>45</v>
      </c>
      <c r="Y66" s="16">
        <f>base_HC[[#This Row],[Semaine (avec 1 internes)]]-5-6</f>
        <v>45</v>
      </c>
      <c r="Z66" s="16">
        <f>base_HC[[#This Row],[Semaine (avec 1 internes)]]-5-6</f>
        <v>45</v>
      </c>
      <c r="AA66" s="16">
        <f>base_HC[[#This Row],[Semaine (avec 1 internes)]]-5-6</f>
        <v>45</v>
      </c>
      <c r="AB66" s="16">
        <f>base_HC[[#This Row],[Semaine (avec 1 internes)]]-5-6</f>
        <v>45</v>
      </c>
      <c r="AC66" s="16">
        <f>base_HC[[#This Row],[Semaine (avec 1 internes)]]-5-6</f>
        <v>45</v>
      </c>
      <c r="AD66" s="16">
        <v>0</v>
      </c>
      <c r="AE66" s="16">
        <v>5</v>
      </c>
      <c r="AH66" s="43"/>
      <c r="AJ66">
        <v>63</v>
      </c>
      <c r="AK66" s="28">
        <v>60</v>
      </c>
      <c r="AL66" s="28">
        <f>base_HDJ[[#This Row],[Semaine 
Nombre de demi-journées postées par semaine en médecins seniors]]-5</f>
        <v>55</v>
      </c>
      <c r="AN66">
        <v>63</v>
      </c>
      <c r="AO66" s="28">
        <v>60</v>
      </c>
      <c r="AP66" s="28">
        <f>base_HDS[[#This Row],[Semaine 
Nombre de demi-journées postées par semaine en médecins seniors]]-5</f>
        <v>55</v>
      </c>
      <c r="AR66">
        <v>62</v>
      </c>
      <c r="AS66" s="27">
        <f>ROUNDUP(Tableau4[[#This Row],[Nombre de consultations internes  ]]/30,0)</f>
        <v>3</v>
      </c>
    </row>
    <row r="67" spans="13:45" x14ac:dyDescent="0.35">
      <c r="M67">
        <v>63</v>
      </c>
      <c r="N67" s="16">
        <v>61</v>
      </c>
      <c r="O67" s="16">
        <f>base_HC[[#This Row],[Semaine 
Nombre de demi-journées postées par semaine en médecins seniors]]-5</f>
        <v>56</v>
      </c>
      <c r="P67" s="16">
        <f>base_HC[[#This Row],[Semaine 
Nombre de demi-journées postées par semaine en médecins seniors]]-5</f>
        <v>56</v>
      </c>
      <c r="Q67" s="16">
        <f>base_HC[[#This Row],[Semaine (avec 1 internes)]]-5</f>
        <v>51</v>
      </c>
      <c r="R67" s="16">
        <f>base_HC[[#This Row],[Semaine (avec 1 internes)]]-5</f>
        <v>51</v>
      </c>
      <c r="S67" s="16">
        <f>base_HC[[#This Row],[Semaine (avec 1 internes)]]-5-6</f>
        <v>45</v>
      </c>
      <c r="T67" s="16">
        <f>base_HC[[#This Row],[Semaine (avec 1 internes)]]-5-6</f>
        <v>45</v>
      </c>
      <c r="U67" s="16">
        <f>base_HC[[#This Row],[Semaine (avec 1 internes)]]-5-6</f>
        <v>45</v>
      </c>
      <c r="V67" s="16">
        <f>base_HC[[#This Row],[Semaine (avec 1 internes)]]-5-6</f>
        <v>45</v>
      </c>
      <c r="W67" s="16">
        <f>base_HC[[#This Row],[Semaine (avec 1 internes)]]-5-6</f>
        <v>45</v>
      </c>
      <c r="X67" s="16">
        <f>base_HC[[#This Row],[Semaine (avec 1 internes)]]-5-6</f>
        <v>45</v>
      </c>
      <c r="Y67" s="16">
        <f>base_HC[[#This Row],[Semaine (avec 1 internes)]]-5-6</f>
        <v>45</v>
      </c>
      <c r="Z67" s="16">
        <f>base_HC[[#This Row],[Semaine (avec 1 internes)]]-5-6</f>
        <v>45</v>
      </c>
      <c r="AA67" s="16">
        <f>base_HC[[#This Row],[Semaine (avec 1 internes)]]-5-6</f>
        <v>45</v>
      </c>
      <c r="AB67" s="16">
        <f>base_HC[[#This Row],[Semaine (avec 1 internes)]]-5-6</f>
        <v>45</v>
      </c>
      <c r="AC67" s="16">
        <f>base_HC[[#This Row],[Semaine (avec 1 internes)]]-5-6</f>
        <v>45</v>
      </c>
      <c r="AD67" s="16">
        <v>0</v>
      </c>
      <c r="AE67" s="16">
        <v>5</v>
      </c>
      <c r="AH67" s="43"/>
      <c r="AJ67">
        <v>64</v>
      </c>
      <c r="AK67" s="28">
        <v>60</v>
      </c>
      <c r="AL67" s="28">
        <f>base_HDJ[[#This Row],[Semaine 
Nombre de demi-journées postées par semaine en médecins seniors]]-5</f>
        <v>55</v>
      </c>
      <c r="AN67">
        <v>64</v>
      </c>
      <c r="AO67" s="28">
        <v>60</v>
      </c>
      <c r="AP67" s="28">
        <f>base_HDS[[#This Row],[Semaine 
Nombre de demi-journées postées par semaine en médecins seniors]]-5</f>
        <v>55</v>
      </c>
      <c r="AR67">
        <v>63</v>
      </c>
      <c r="AS67" s="27">
        <f>ROUNDUP(Tableau4[[#This Row],[Nombre de consultations internes  ]]/30,0)</f>
        <v>3</v>
      </c>
    </row>
    <row r="68" spans="13:45" x14ac:dyDescent="0.35">
      <c r="M68">
        <v>64</v>
      </c>
      <c r="N68" s="16">
        <v>61</v>
      </c>
      <c r="O68" s="16">
        <f>base_HC[[#This Row],[Semaine 
Nombre de demi-journées postées par semaine en médecins seniors]]-5</f>
        <v>56</v>
      </c>
      <c r="P68" s="16">
        <f>base_HC[[#This Row],[Semaine 
Nombre de demi-journées postées par semaine en médecins seniors]]-5</f>
        <v>56</v>
      </c>
      <c r="Q68" s="16">
        <f>base_HC[[#This Row],[Semaine (avec 1 internes)]]-5</f>
        <v>51</v>
      </c>
      <c r="R68" s="16">
        <f>base_HC[[#This Row],[Semaine (avec 1 internes)]]-5</f>
        <v>51</v>
      </c>
      <c r="S68" s="16">
        <f>base_HC[[#This Row],[Semaine (avec 1 internes)]]-5-6</f>
        <v>45</v>
      </c>
      <c r="T68" s="16">
        <f>base_HC[[#This Row],[Semaine (avec 1 internes)]]-5-6</f>
        <v>45</v>
      </c>
      <c r="U68" s="16">
        <f>base_HC[[#This Row],[Semaine (avec 1 internes)]]-5-6</f>
        <v>45</v>
      </c>
      <c r="V68" s="16">
        <f>base_HC[[#This Row],[Semaine (avec 1 internes)]]-5-6</f>
        <v>45</v>
      </c>
      <c r="W68" s="16">
        <f>base_HC[[#This Row],[Semaine (avec 1 internes)]]-5-6</f>
        <v>45</v>
      </c>
      <c r="X68" s="16">
        <f>base_HC[[#This Row],[Semaine (avec 1 internes)]]-5-6</f>
        <v>45</v>
      </c>
      <c r="Y68" s="16">
        <f>base_HC[[#This Row],[Semaine (avec 1 internes)]]-5-6</f>
        <v>45</v>
      </c>
      <c r="Z68" s="16">
        <f>base_HC[[#This Row],[Semaine (avec 1 internes)]]-5-6</f>
        <v>45</v>
      </c>
      <c r="AA68" s="16">
        <f>base_HC[[#This Row],[Semaine (avec 1 internes)]]-5-6</f>
        <v>45</v>
      </c>
      <c r="AB68" s="16">
        <f>base_HC[[#This Row],[Semaine (avec 1 internes)]]-5-6</f>
        <v>45</v>
      </c>
      <c r="AC68" s="16">
        <f>base_HC[[#This Row],[Semaine (avec 1 internes)]]-5-6</f>
        <v>45</v>
      </c>
      <c r="AD68" s="16">
        <v>0</v>
      </c>
      <c r="AE68" s="16">
        <v>5</v>
      </c>
      <c r="AH68" s="43"/>
      <c r="AJ68">
        <v>65</v>
      </c>
      <c r="AK68" s="28">
        <v>60</v>
      </c>
      <c r="AL68" s="28">
        <f>base_HDJ[[#This Row],[Semaine 
Nombre de demi-journées postées par semaine en médecins seniors]]-5</f>
        <v>55</v>
      </c>
      <c r="AN68">
        <v>65</v>
      </c>
      <c r="AO68" s="28">
        <v>60</v>
      </c>
      <c r="AP68" s="28">
        <f>base_HDS[[#This Row],[Semaine 
Nombre de demi-journées postées par semaine en médecins seniors]]-5</f>
        <v>55</v>
      </c>
      <c r="AR68">
        <v>64</v>
      </c>
      <c r="AS68" s="27">
        <f>ROUNDUP(Tableau4[[#This Row],[Nombre de consultations internes  ]]/30,0)</f>
        <v>3</v>
      </c>
    </row>
    <row r="69" spans="13:45" x14ac:dyDescent="0.35">
      <c r="M69">
        <v>65</v>
      </c>
      <c r="N69" s="16">
        <v>61</v>
      </c>
      <c r="O69" s="16">
        <f>base_HC[[#This Row],[Semaine 
Nombre de demi-journées postées par semaine en médecins seniors]]-5</f>
        <v>56</v>
      </c>
      <c r="P69" s="16">
        <f>base_HC[[#This Row],[Semaine 
Nombre de demi-journées postées par semaine en médecins seniors]]-5</f>
        <v>56</v>
      </c>
      <c r="Q69" s="16">
        <f>base_HC[[#This Row],[Semaine (avec 1 internes)]]-5</f>
        <v>51</v>
      </c>
      <c r="R69" s="16">
        <f>base_HC[[#This Row],[Semaine (avec 1 internes)]]-5</f>
        <v>51</v>
      </c>
      <c r="S69" s="16">
        <f>base_HC[[#This Row],[Semaine (avec 1 internes)]]-5-6</f>
        <v>45</v>
      </c>
      <c r="T69" s="16">
        <f>base_HC[[#This Row],[Semaine (avec 1 internes)]]-5-6</f>
        <v>45</v>
      </c>
      <c r="U69" s="16">
        <f>base_HC[[#This Row],[Semaine (avec 1 internes)]]-5-6</f>
        <v>45</v>
      </c>
      <c r="V69" s="16">
        <f>base_HC[[#This Row],[Semaine (avec 1 internes)]]-5-6</f>
        <v>45</v>
      </c>
      <c r="W69" s="16">
        <f>base_HC[[#This Row],[Semaine (avec 1 internes)]]-5-6</f>
        <v>45</v>
      </c>
      <c r="X69" s="16">
        <f>base_HC[[#This Row],[Semaine (avec 1 internes)]]-5-6</f>
        <v>45</v>
      </c>
      <c r="Y69" s="16">
        <f>base_HC[[#This Row],[Semaine (avec 1 internes)]]-5-6</f>
        <v>45</v>
      </c>
      <c r="Z69" s="16">
        <f>base_HC[[#This Row],[Semaine (avec 1 internes)]]-5-6</f>
        <v>45</v>
      </c>
      <c r="AA69" s="16">
        <f>base_HC[[#This Row],[Semaine (avec 1 internes)]]-5-6</f>
        <v>45</v>
      </c>
      <c r="AB69" s="16">
        <f>base_HC[[#This Row],[Semaine (avec 1 internes)]]-5-6</f>
        <v>45</v>
      </c>
      <c r="AC69" s="16">
        <f>base_HC[[#This Row],[Semaine (avec 1 internes)]]-5-6</f>
        <v>45</v>
      </c>
      <c r="AD69" s="16">
        <v>0</v>
      </c>
      <c r="AE69" s="16">
        <v>5</v>
      </c>
      <c r="AH69" s="43"/>
      <c r="AJ69">
        <v>66</v>
      </c>
      <c r="AK69" s="28">
        <v>60</v>
      </c>
      <c r="AL69" s="28">
        <f>base_HDJ[[#This Row],[Semaine 
Nombre de demi-journées postées par semaine en médecins seniors]]-5</f>
        <v>55</v>
      </c>
      <c r="AN69">
        <v>66</v>
      </c>
      <c r="AO69" s="28">
        <v>60</v>
      </c>
      <c r="AP69" s="28">
        <f>base_HDS[[#This Row],[Semaine 
Nombre de demi-journées postées par semaine en médecins seniors]]-5</f>
        <v>55</v>
      </c>
      <c r="AR69">
        <v>65</v>
      </c>
      <c r="AS69" s="27">
        <f>ROUNDUP(Tableau4[[#This Row],[Nombre de consultations internes  ]]/30,0)</f>
        <v>3</v>
      </c>
    </row>
    <row r="70" spans="13:45" x14ac:dyDescent="0.35">
      <c r="M70">
        <v>66</v>
      </c>
      <c r="N70" s="16">
        <v>61</v>
      </c>
      <c r="O70" s="16">
        <f>base_HC[[#This Row],[Semaine 
Nombre de demi-journées postées par semaine en médecins seniors]]-5</f>
        <v>56</v>
      </c>
      <c r="P70" s="16">
        <f>base_HC[[#This Row],[Semaine 
Nombre de demi-journées postées par semaine en médecins seniors]]-5</f>
        <v>56</v>
      </c>
      <c r="Q70" s="16">
        <f>base_HC[[#This Row],[Semaine (avec 2 internes)]]-5</f>
        <v>51</v>
      </c>
      <c r="R70" s="16">
        <f>base_HC[[#This Row],[Semaine (avec 2 internes)]]-5</f>
        <v>51</v>
      </c>
      <c r="S70" s="16">
        <f>base_HC[[#This Row],[Semaine (avec 2 internes)]]-5-6</f>
        <v>45</v>
      </c>
      <c r="T70" s="16">
        <f>base_HC[[#This Row],[Semaine (avec 2 internes)]]-5-6</f>
        <v>45</v>
      </c>
      <c r="U70" s="16">
        <f>base_HC[[#This Row],[Semaine (avec 2 internes)]]-5-6</f>
        <v>45</v>
      </c>
      <c r="V70" s="16">
        <f>base_HC[[#This Row],[Semaine (avec 2 internes)]]-5-6</f>
        <v>45</v>
      </c>
      <c r="W70" s="16">
        <f>base_HC[[#This Row],[Semaine (avec 2 internes)]]-5-6</f>
        <v>45</v>
      </c>
      <c r="X70" s="16">
        <f>base_HC[[#This Row],[Semaine (avec 2 internes)]]-5-6</f>
        <v>45</v>
      </c>
      <c r="Y70" s="16">
        <f>base_HC[[#This Row],[Semaine (avec 2 internes)]]-5-6</f>
        <v>45</v>
      </c>
      <c r="Z70" s="16">
        <f>base_HC[[#This Row],[Semaine (avec 2 internes)]]-5-6</f>
        <v>45</v>
      </c>
      <c r="AA70" s="16">
        <f>base_HC[[#This Row],[Semaine (avec 2 internes)]]-5-6</f>
        <v>45</v>
      </c>
      <c r="AB70" s="16">
        <f>base_HC[[#This Row],[Semaine (avec 2 internes)]]-5-6</f>
        <v>45</v>
      </c>
      <c r="AC70" s="16">
        <f>base_HC[[#This Row],[Semaine (avec 2 internes)]]-5-6</f>
        <v>45</v>
      </c>
      <c r="AD70" s="16">
        <v>0</v>
      </c>
      <c r="AE70" s="16">
        <v>5</v>
      </c>
      <c r="AH70" s="43"/>
      <c r="AJ70">
        <v>67</v>
      </c>
      <c r="AK70" s="28">
        <v>60</v>
      </c>
      <c r="AL70" s="28">
        <f>base_HDJ[[#This Row],[Semaine 
Nombre de demi-journées postées par semaine en médecins seniors]]-5</f>
        <v>55</v>
      </c>
      <c r="AN70">
        <v>67</v>
      </c>
      <c r="AO70" s="28">
        <v>60</v>
      </c>
      <c r="AP70" s="28">
        <f>base_HDS[[#This Row],[Semaine 
Nombre de demi-journées postées par semaine en médecins seniors]]-5</f>
        <v>55</v>
      </c>
      <c r="AR70">
        <v>66</v>
      </c>
      <c r="AS70" s="27">
        <f>ROUNDUP(Tableau4[[#This Row],[Nombre de consultations internes  ]]/30,0)</f>
        <v>3</v>
      </c>
    </row>
    <row r="71" spans="13:45" x14ac:dyDescent="0.35">
      <c r="M71">
        <v>67</v>
      </c>
      <c r="N71" s="16">
        <v>61</v>
      </c>
      <c r="O71" s="16">
        <f>base_HC[[#This Row],[Semaine 
Nombre de demi-journées postées par semaine en médecins seniors]]-5</f>
        <v>56</v>
      </c>
      <c r="P71" s="16">
        <f>base_HC[[#This Row],[Semaine 
Nombre de demi-journées postées par semaine en médecins seniors]]-5</f>
        <v>56</v>
      </c>
      <c r="Q71" s="16">
        <f>base_HC[[#This Row],[Semaine (avec 2 internes)]]-5</f>
        <v>51</v>
      </c>
      <c r="R71" s="16">
        <f>base_HC[[#This Row],[Semaine (avec 2 internes)]]-5</f>
        <v>51</v>
      </c>
      <c r="S71" s="16">
        <f>base_HC[[#This Row],[Semaine (avec 2 internes)]]-5-6</f>
        <v>45</v>
      </c>
      <c r="T71" s="16">
        <f>base_HC[[#This Row],[Semaine (avec 2 internes)]]-5-6</f>
        <v>45</v>
      </c>
      <c r="U71" s="16">
        <f>base_HC[[#This Row],[Semaine (avec 2 internes)]]-5-6</f>
        <v>45</v>
      </c>
      <c r="V71" s="16">
        <f>base_HC[[#This Row],[Semaine (avec 2 internes)]]-5-6</f>
        <v>45</v>
      </c>
      <c r="W71" s="16">
        <f>base_HC[[#This Row],[Semaine (avec 2 internes)]]-5-6</f>
        <v>45</v>
      </c>
      <c r="X71" s="16">
        <f>base_HC[[#This Row],[Semaine (avec 2 internes)]]-5-6</f>
        <v>45</v>
      </c>
      <c r="Y71" s="16">
        <f>base_HC[[#This Row],[Semaine (avec 2 internes)]]-5-6</f>
        <v>45</v>
      </c>
      <c r="Z71" s="16">
        <f>base_HC[[#This Row],[Semaine (avec 2 internes)]]-5-6</f>
        <v>45</v>
      </c>
      <c r="AA71" s="16">
        <f>base_HC[[#This Row],[Semaine (avec 2 internes)]]-5-6</f>
        <v>45</v>
      </c>
      <c r="AB71" s="16">
        <f>base_HC[[#This Row],[Semaine (avec 2 internes)]]-5-6</f>
        <v>45</v>
      </c>
      <c r="AC71" s="16">
        <f>base_HC[[#This Row],[Semaine (avec 2 internes)]]-5-6</f>
        <v>45</v>
      </c>
      <c r="AD71" s="16">
        <v>0</v>
      </c>
      <c r="AE71" s="16">
        <v>5</v>
      </c>
      <c r="AH71" s="43"/>
      <c r="AJ71">
        <v>68</v>
      </c>
      <c r="AK71" s="28">
        <v>60</v>
      </c>
      <c r="AL71" s="28">
        <f>base_HDJ[[#This Row],[Semaine 
Nombre de demi-journées postées par semaine en médecins seniors]]-5</f>
        <v>55</v>
      </c>
      <c r="AN71">
        <v>68</v>
      </c>
      <c r="AO71" s="28">
        <v>60</v>
      </c>
      <c r="AP71" s="28">
        <f>base_HDS[[#This Row],[Semaine 
Nombre de demi-journées postées par semaine en médecins seniors]]-5</f>
        <v>55</v>
      </c>
      <c r="AR71">
        <v>67</v>
      </c>
      <c r="AS71" s="27">
        <f>ROUNDUP(Tableau4[[#This Row],[Nombre de consultations internes  ]]/30,0)</f>
        <v>3</v>
      </c>
    </row>
    <row r="72" spans="13:45" x14ac:dyDescent="0.35">
      <c r="M72">
        <v>68</v>
      </c>
      <c r="N72" s="16">
        <v>66</v>
      </c>
      <c r="O72" s="16">
        <f>base_HC[[#This Row],[Semaine 
Nombre de demi-journées postées par semaine en médecins seniors]]-5</f>
        <v>61</v>
      </c>
      <c r="P72" s="16">
        <f>base_HC[[#This Row],[Semaine (avec 1 internes)]]-5</f>
        <v>56</v>
      </c>
      <c r="Q72" s="16">
        <f>base_HC[[#This Row],[Semaine (avec 2 internes)]]-5</f>
        <v>51</v>
      </c>
      <c r="R72" s="16">
        <f>base_HC[[#This Row],[Semaine (avec 2 internes)]]-5</f>
        <v>51</v>
      </c>
      <c r="S72" s="16">
        <f>base_HC[[#This Row],[Semaine (avec 2 internes)]]-5-6</f>
        <v>45</v>
      </c>
      <c r="T72" s="16">
        <f>base_HC[[#This Row],[Semaine (avec 2 internes)]]-5-6</f>
        <v>45</v>
      </c>
      <c r="U72" s="16">
        <f>base_HC[[#This Row],[Semaine (avec 2 internes)]]-5-6</f>
        <v>45</v>
      </c>
      <c r="V72" s="16">
        <f>base_HC[[#This Row],[Semaine (avec 2 internes)]]-5-6</f>
        <v>45</v>
      </c>
      <c r="W72" s="16">
        <f>base_HC[[#This Row],[Semaine (avec 2 internes)]]-5-6</f>
        <v>45</v>
      </c>
      <c r="X72" s="16">
        <f>base_HC[[#This Row],[Semaine (avec 2 internes)]]-5-6</f>
        <v>45</v>
      </c>
      <c r="Y72" s="16">
        <f>base_HC[[#This Row],[Semaine (avec 2 internes)]]-5-6</f>
        <v>45</v>
      </c>
      <c r="Z72" s="16">
        <f>base_HC[[#This Row],[Semaine (avec 2 internes)]]-5-6</f>
        <v>45</v>
      </c>
      <c r="AA72" s="16">
        <f>base_HC[[#This Row],[Semaine (avec 2 internes)]]-5-6</f>
        <v>45</v>
      </c>
      <c r="AB72" s="16">
        <f>base_HC[[#This Row],[Semaine (avec 2 internes)]]-5-6</f>
        <v>45</v>
      </c>
      <c r="AC72" s="16">
        <f>base_HC[[#This Row],[Semaine (avec 2 internes)]]-5-6</f>
        <v>45</v>
      </c>
      <c r="AD72" s="16">
        <v>0</v>
      </c>
      <c r="AE72" s="16">
        <v>6</v>
      </c>
      <c r="AH72" s="43"/>
      <c r="AJ72">
        <v>69</v>
      </c>
      <c r="AK72" s="28">
        <v>60</v>
      </c>
      <c r="AL72" s="28">
        <f>base_HDJ[[#This Row],[Semaine 
Nombre de demi-journées postées par semaine en médecins seniors]]-5</f>
        <v>55</v>
      </c>
      <c r="AN72">
        <v>69</v>
      </c>
      <c r="AO72" s="28">
        <v>60</v>
      </c>
      <c r="AP72" s="28">
        <f>base_HDS[[#This Row],[Semaine 
Nombre de demi-journées postées par semaine en médecins seniors]]-5</f>
        <v>55</v>
      </c>
      <c r="AR72">
        <v>68</v>
      </c>
      <c r="AS72" s="27">
        <f>ROUNDUP(Tableau4[[#This Row],[Nombre de consultations internes  ]]/30,0)</f>
        <v>3</v>
      </c>
    </row>
    <row r="73" spans="13:45" x14ac:dyDescent="0.35">
      <c r="M73">
        <v>69</v>
      </c>
      <c r="N73" s="16">
        <v>66</v>
      </c>
      <c r="O73" s="16">
        <f>base_HC[[#This Row],[Semaine 
Nombre de demi-journées postées par semaine en médecins seniors]]-5</f>
        <v>61</v>
      </c>
      <c r="P73" s="16">
        <f>base_HC[[#This Row],[Semaine (avec 1 internes)]]-5</f>
        <v>56</v>
      </c>
      <c r="Q73" s="16">
        <f>base_HC[[#This Row],[Semaine (avec 2 internes)]]-5</f>
        <v>51</v>
      </c>
      <c r="R73" s="16">
        <f>base_HC[[#This Row],[Semaine (avec 2 internes)]]-5</f>
        <v>51</v>
      </c>
      <c r="S73" s="16">
        <f>base_HC[[#This Row],[Semaine (avec 2 internes)]]-5-6</f>
        <v>45</v>
      </c>
      <c r="T73" s="16">
        <f>base_HC[[#This Row],[Semaine (avec 2 internes)]]-5-6</f>
        <v>45</v>
      </c>
      <c r="U73" s="16">
        <f>base_HC[[#This Row],[Semaine (avec 2 internes)]]-5-6</f>
        <v>45</v>
      </c>
      <c r="V73" s="16">
        <f>base_HC[[#This Row],[Semaine (avec 2 internes)]]-5-6</f>
        <v>45</v>
      </c>
      <c r="W73" s="16">
        <f>base_HC[[#This Row],[Semaine (avec 2 internes)]]-5-6</f>
        <v>45</v>
      </c>
      <c r="X73" s="16">
        <f>base_HC[[#This Row],[Semaine (avec 2 internes)]]-5-6</f>
        <v>45</v>
      </c>
      <c r="Y73" s="16">
        <f>base_HC[[#This Row],[Semaine (avec 2 internes)]]-5-6</f>
        <v>45</v>
      </c>
      <c r="Z73" s="16">
        <f>base_HC[[#This Row],[Semaine (avec 2 internes)]]-5-6</f>
        <v>45</v>
      </c>
      <c r="AA73" s="16">
        <f>base_HC[[#This Row],[Semaine (avec 2 internes)]]-5-6</f>
        <v>45</v>
      </c>
      <c r="AB73" s="16">
        <f>base_HC[[#This Row],[Semaine (avec 2 internes)]]-5-6</f>
        <v>45</v>
      </c>
      <c r="AC73" s="16">
        <f>base_HC[[#This Row],[Semaine (avec 2 internes)]]-5-6</f>
        <v>45</v>
      </c>
      <c r="AD73" s="16">
        <v>0</v>
      </c>
      <c r="AE73" s="16">
        <v>6</v>
      </c>
      <c r="AH73" s="43"/>
      <c r="AJ73">
        <v>70</v>
      </c>
      <c r="AK73" s="28">
        <v>60</v>
      </c>
      <c r="AL73" s="28">
        <f>base_HDJ[[#This Row],[Semaine 
Nombre de demi-journées postées par semaine en médecins seniors]]-5</f>
        <v>55</v>
      </c>
      <c r="AN73">
        <v>70</v>
      </c>
      <c r="AO73" s="28">
        <v>60</v>
      </c>
      <c r="AP73" s="28">
        <f>base_HDS[[#This Row],[Semaine 
Nombre de demi-journées postées par semaine en médecins seniors]]-5</f>
        <v>55</v>
      </c>
      <c r="AR73">
        <v>69</v>
      </c>
      <c r="AS73" s="27">
        <f>ROUNDUP(Tableau4[[#This Row],[Nombre de consultations internes  ]]/30,0)</f>
        <v>3</v>
      </c>
    </row>
    <row r="74" spans="13:45" x14ac:dyDescent="0.35">
      <c r="M74">
        <v>70</v>
      </c>
      <c r="N74" s="16">
        <v>66</v>
      </c>
      <c r="O74" s="16">
        <f>base_HC[[#This Row],[Semaine 
Nombre de demi-journées postées par semaine en médecins seniors]]-5</f>
        <v>61</v>
      </c>
      <c r="P74" s="16">
        <f>base_HC[[#This Row],[Semaine (avec 1 internes)]]-5</f>
        <v>56</v>
      </c>
      <c r="Q74" s="16">
        <f>base_HC[[#This Row],[Semaine (avec 2 internes)]]-5</f>
        <v>51</v>
      </c>
      <c r="R74" s="16">
        <f>base_HC[[#This Row],[Semaine (avec 2 internes)]]-5</f>
        <v>51</v>
      </c>
      <c r="S74" s="16">
        <f>base_HC[[#This Row],[Semaine (avec 2 internes)]]-5-6</f>
        <v>45</v>
      </c>
      <c r="T74" s="16">
        <f>base_HC[[#This Row],[Semaine (avec 2 internes)]]-5-6</f>
        <v>45</v>
      </c>
      <c r="U74" s="16">
        <f>base_HC[[#This Row],[Semaine (avec 2 internes)]]-5-6</f>
        <v>45</v>
      </c>
      <c r="V74" s="16">
        <f>base_HC[[#This Row],[Semaine (avec 2 internes)]]-5-6</f>
        <v>45</v>
      </c>
      <c r="W74" s="16">
        <f>base_HC[[#This Row],[Semaine (avec 2 internes)]]-5-6</f>
        <v>45</v>
      </c>
      <c r="X74" s="16">
        <f>base_HC[[#This Row],[Semaine (avec 2 internes)]]-5-6</f>
        <v>45</v>
      </c>
      <c r="Y74" s="16">
        <f>base_HC[[#This Row],[Semaine (avec 2 internes)]]-5-6</f>
        <v>45</v>
      </c>
      <c r="Z74" s="16">
        <f>base_HC[[#This Row],[Semaine (avec 2 internes)]]-5-6</f>
        <v>45</v>
      </c>
      <c r="AA74" s="16">
        <f>base_HC[[#This Row],[Semaine (avec 2 internes)]]-5-6</f>
        <v>45</v>
      </c>
      <c r="AB74" s="16">
        <f>base_HC[[#This Row],[Semaine (avec 2 internes)]]-5-6</f>
        <v>45</v>
      </c>
      <c r="AC74" s="16">
        <f>base_HC[[#This Row],[Semaine (avec 2 internes)]]-5-6</f>
        <v>45</v>
      </c>
      <c r="AD74" s="16">
        <v>0</v>
      </c>
      <c r="AE74" s="16">
        <v>6</v>
      </c>
      <c r="AH74" s="43"/>
      <c r="AJ74">
        <v>71</v>
      </c>
      <c r="AK74" s="28">
        <v>70</v>
      </c>
      <c r="AL74" s="28">
        <f>base_HDJ[[#This Row],[Semaine 
Nombre de demi-journées postées par semaine en médecins seniors]]-5</f>
        <v>65</v>
      </c>
      <c r="AN74">
        <v>71</v>
      </c>
      <c r="AO74" s="28">
        <v>70</v>
      </c>
      <c r="AP74" s="28">
        <f>base_HDS[[#This Row],[Semaine 
Nombre de demi-journées postées par semaine en médecins seniors]]-5</f>
        <v>65</v>
      </c>
      <c r="AR74">
        <v>70</v>
      </c>
      <c r="AS74" s="27">
        <f>ROUNDUP(Tableau4[[#This Row],[Nombre de consultations internes  ]]/30,0)</f>
        <v>3</v>
      </c>
    </row>
    <row r="75" spans="13:45" x14ac:dyDescent="0.35">
      <c r="M75">
        <v>71</v>
      </c>
      <c r="N75" s="16">
        <v>66</v>
      </c>
      <c r="O75" s="16">
        <f>base_HC[[#This Row],[Semaine 
Nombre de demi-journées postées par semaine en médecins seniors]]-5</f>
        <v>61</v>
      </c>
      <c r="P75" s="16">
        <f>base_HC[[#This Row],[Semaine (avec 1 internes)]]-5</f>
        <v>56</v>
      </c>
      <c r="Q75" s="16">
        <f>base_HC[[#This Row],[Semaine (avec 2 internes)]]-5</f>
        <v>51</v>
      </c>
      <c r="R75" s="16">
        <f>base_HC[[#This Row],[Semaine (avec 2 internes)]]-5</f>
        <v>51</v>
      </c>
      <c r="S75" s="16">
        <f>base_HC[[#This Row],[Semaine (avec 2 internes)]]-5-6</f>
        <v>45</v>
      </c>
      <c r="T75" s="16">
        <f>base_HC[[#This Row],[Semaine (avec 2 internes)]]-5-6</f>
        <v>45</v>
      </c>
      <c r="U75" s="16">
        <f>base_HC[[#This Row],[Semaine (avec 2 internes)]]-5-6</f>
        <v>45</v>
      </c>
      <c r="V75" s="16">
        <f>base_HC[[#This Row],[Semaine (avec 2 internes)]]-5-6</f>
        <v>45</v>
      </c>
      <c r="W75" s="16">
        <f>base_HC[[#This Row],[Semaine (avec 2 internes)]]-5-6</f>
        <v>45</v>
      </c>
      <c r="X75" s="16">
        <f>base_HC[[#This Row],[Semaine (avec 2 internes)]]-5-6</f>
        <v>45</v>
      </c>
      <c r="Y75" s="16">
        <f>base_HC[[#This Row],[Semaine (avec 2 internes)]]-5-6</f>
        <v>45</v>
      </c>
      <c r="Z75" s="16">
        <f>base_HC[[#This Row],[Semaine (avec 2 internes)]]-5-6</f>
        <v>45</v>
      </c>
      <c r="AA75" s="16">
        <f>base_HC[[#This Row],[Semaine (avec 2 internes)]]-5-6</f>
        <v>45</v>
      </c>
      <c r="AB75" s="16">
        <f>base_HC[[#This Row],[Semaine (avec 2 internes)]]-5-6</f>
        <v>45</v>
      </c>
      <c r="AC75" s="16">
        <f>base_HC[[#This Row],[Semaine (avec 2 internes)]]-5-6</f>
        <v>45</v>
      </c>
      <c r="AD75" s="16">
        <v>0</v>
      </c>
      <c r="AE75" s="16">
        <v>6</v>
      </c>
      <c r="AH75" s="43"/>
      <c r="AJ75">
        <v>72</v>
      </c>
      <c r="AK75" s="28">
        <v>70</v>
      </c>
      <c r="AL75" s="28">
        <f>base_HDJ[[#This Row],[Semaine 
Nombre de demi-journées postées par semaine en médecins seniors]]-5</f>
        <v>65</v>
      </c>
      <c r="AN75">
        <v>72</v>
      </c>
      <c r="AO75" s="28">
        <v>70</v>
      </c>
      <c r="AP75" s="28">
        <f>base_HDS[[#This Row],[Semaine 
Nombre de demi-journées postées par semaine en médecins seniors]]-5</f>
        <v>65</v>
      </c>
      <c r="AR75">
        <v>71</v>
      </c>
      <c r="AS75" s="27">
        <f>ROUNDUP(Tableau4[[#This Row],[Nombre de consultations internes  ]]/30,0)</f>
        <v>3</v>
      </c>
    </row>
    <row r="76" spans="13:45" x14ac:dyDescent="0.35">
      <c r="M76">
        <v>72</v>
      </c>
      <c r="N76" s="16">
        <v>66</v>
      </c>
      <c r="O76" s="16">
        <f>base_HC[[#This Row],[Semaine 
Nombre de demi-journées postées par semaine en médecins seniors]]-5</f>
        <v>61</v>
      </c>
      <c r="P76" s="16">
        <f>base_HC[[#This Row],[Semaine (avec 1 internes)]]-5</f>
        <v>56</v>
      </c>
      <c r="Q76" s="16">
        <f>base_HC[[#This Row],[Semaine (avec 2 internes)]]-5</f>
        <v>51</v>
      </c>
      <c r="R76" s="16">
        <f>base_HC[[#This Row],[Semaine (avec 2 internes)]]-5</f>
        <v>51</v>
      </c>
      <c r="S76" s="16">
        <f>base_HC[[#This Row],[Semaine (avec 2 internes)]]-5-6</f>
        <v>45</v>
      </c>
      <c r="T76" s="16">
        <f>base_HC[[#This Row],[Semaine (avec 2 internes)]]-5-6</f>
        <v>45</v>
      </c>
      <c r="U76" s="16">
        <f>base_HC[[#This Row],[Semaine (avec 2 internes)]]-5-6</f>
        <v>45</v>
      </c>
      <c r="V76" s="16">
        <f>base_HC[[#This Row],[Semaine (avec 2 internes)]]-5-6</f>
        <v>45</v>
      </c>
      <c r="W76" s="16">
        <f>base_HC[[#This Row],[Semaine (avec 2 internes)]]-5-6</f>
        <v>45</v>
      </c>
      <c r="X76" s="16">
        <f>base_HC[[#This Row],[Semaine (avec 2 internes)]]-5-6</f>
        <v>45</v>
      </c>
      <c r="Y76" s="16">
        <f>base_HC[[#This Row],[Semaine (avec 2 internes)]]-5-6</f>
        <v>45</v>
      </c>
      <c r="Z76" s="16">
        <f>base_HC[[#This Row],[Semaine (avec 2 internes)]]-5-6</f>
        <v>45</v>
      </c>
      <c r="AA76" s="16">
        <f>base_HC[[#This Row],[Semaine (avec 2 internes)]]-5-6</f>
        <v>45</v>
      </c>
      <c r="AB76" s="16">
        <f>base_HC[[#This Row],[Semaine (avec 2 internes)]]-5-6</f>
        <v>45</v>
      </c>
      <c r="AC76" s="16">
        <f>base_HC[[#This Row],[Semaine (avec 2 internes)]]-5-6</f>
        <v>45</v>
      </c>
      <c r="AD76" s="16">
        <v>0</v>
      </c>
      <c r="AE76" s="16">
        <v>6</v>
      </c>
      <c r="AH76" s="43"/>
      <c r="AJ76">
        <v>73</v>
      </c>
      <c r="AK76" s="28">
        <v>70</v>
      </c>
      <c r="AL76" s="28">
        <f>base_HDJ[[#This Row],[Semaine 
Nombre de demi-journées postées par semaine en médecins seniors]]-5</f>
        <v>65</v>
      </c>
      <c r="AN76">
        <v>73</v>
      </c>
      <c r="AO76" s="28">
        <v>70</v>
      </c>
      <c r="AP76" s="28">
        <f>base_HDS[[#This Row],[Semaine 
Nombre de demi-journées postées par semaine en médecins seniors]]-5</f>
        <v>65</v>
      </c>
      <c r="AR76">
        <v>72</v>
      </c>
      <c r="AS76" s="27">
        <f>ROUNDUP(Tableau4[[#This Row],[Nombre de consultations internes  ]]/30,0)</f>
        <v>3</v>
      </c>
    </row>
    <row r="77" spans="13:45" x14ac:dyDescent="0.35">
      <c r="M77">
        <v>73</v>
      </c>
      <c r="N77" s="16">
        <v>72</v>
      </c>
      <c r="O77" s="16">
        <f>base_HC[[#This Row],[Semaine 
Nombre de demi-journées postées par semaine en médecins seniors]]-5</f>
        <v>67</v>
      </c>
      <c r="P77" s="16">
        <f>base_HC[[#This Row],[Semaine (avec 1 internes)]]-5</f>
        <v>62</v>
      </c>
      <c r="Q77" s="16">
        <f>base_HC[[#This Row],[Semaine (avec 2 internes)]]-5</f>
        <v>57</v>
      </c>
      <c r="R77" s="16">
        <f>base_HC[[#This Row],[Semaine (avec 2 internes)]]-5</f>
        <v>57</v>
      </c>
      <c r="S77" s="16">
        <f>base_HC[[#This Row],[Semaine (avec 2 internes)]]-5-6</f>
        <v>51</v>
      </c>
      <c r="T77" s="16">
        <f>base_HC[[#This Row],[Semaine (avec 2 internes)]]-5-6</f>
        <v>51</v>
      </c>
      <c r="U77" s="16">
        <f>base_HC[[#This Row],[Semaine (avec 2 internes)]]-5-6</f>
        <v>51</v>
      </c>
      <c r="V77" s="16">
        <f>base_HC[[#This Row],[Semaine (avec 2 internes)]]-5-6</f>
        <v>51</v>
      </c>
      <c r="W77" s="16">
        <f>base_HC[[#This Row],[Semaine (avec 2 internes)]]-5-6</f>
        <v>51</v>
      </c>
      <c r="X77" s="16">
        <f>base_HC[[#This Row],[Semaine (avec 2 internes)]]-5-6</f>
        <v>51</v>
      </c>
      <c r="Y77" s="16">
        <f>base_HC[[#This Row],[Semaine (avec 2 internes)]]-5-6</f>
        <v>51</v>
      </c>
      <c r="Z77" s="16">
        <f>base_HC[[#This Row],[Semaine (avec 2 internes)]]-5-6</f>
        <v>51</v>
      </c>
      <c r="AA77" s="16">
        <f>base_HC[[#This Row],[Semaine (avec 2 internes)]]-5-6</f>
        <v>51</v>
      </c>
      <c r="AB77" s="16">
        <f>base_HC[[#This Row],[Semaine (avec 2 internes)]]-5-6</f>
        <v>51</v>
      </c>
      <c r="AC77" s="16">
        <f>base_HC[[#This Row],[Semaine (avec 2 internes)]]-5-6</f>
        <v>51</v>
      </c>
      <c r="AD77" s="16">
        <v>0</v>
      </c>
      <c r="AE77" s="16">
        <v>6</v>
      </c>
      <c r="AH77" s="43"/>
      <c r="AJ77">
        <v>74</v>
      </c>
      <c r="AK77" s="28">
        <v>70</v>
      </c>
      <c r="AL77" s="28">
        <f>base_HDJ[[#This Row],[Semaine 
Nombre de demi-journées postées par semaine en médecins seniors]]-5</f>
        <v>65</v>
      </c>
      <c r="AN77">
        <v>74</v>
      </c>
      <c r="AO77" s="28">
        <v>70</v>
      </c>
      <c r="AP77" s="28">
        <f>base_HDS[[#This Row],[Semaine 
Nombre de demi-journées postées par semaine en médecins seniors]]-5</f>
        <v>65</v>
      </c>
      <c r="AR77">
        <v>73</v>
      </c>
      <c r="AS77" s="27">
        <f>ROUNDUP(Tableau4[[#This Row],[Nombre de consultations internes  ]]/30,0)</f>
        <v>3</v>
      </c>
    </row>
    <row r="78" spans="13:45" x14ac:dyDescent="0.35">
      <c r="M78">
        <v>74</v>
      </c>
      <c r="N78" s="16">
        <v>72</v>
      </c>
      <c r="O78" s="16">
        <f>base_HC[[#This Row],[Semaine 
Nombre de demi-journées postées par semaine en médecins seniors]]-5</f>
        <v>67</v>
      </c>
      <c r="P78" s="16">
        <f>base_HC[[#This Row],[Semaine (avec 1 internes)]]-5</f>
        <v>62</v>
      </c>
      <c r="Q78" s="16">
        <f>base_HC[[#This Row],[Semaine (avec 2 internes)]]-5</f>
        <v>57</v>
      </c>
      <c r="R78" s="16">
        <f>base_HC[[#This Row],[Semaine (avec 2 internes)]]-5</f>
        <v>57</v>
      </c>
      <c r="S78" s="16">
        <f>base_HC[[#This Row],[Semaine (avec 2 internes)]]-5-6</f>
        <v>51</v>
      </c>
      <c r="T78" s="16">
        <f>base_HC[[#This Row],[Semaine (avec 2 internes)]]-5-6</f>
        <v>51</v>
      </c>
      <c r="U78" s="16">
        <f>base_HC[[#This Row],[Semaine (avec 2 internes)]]-5-6</f>
        <v>51</v>
      </c>
      <c r="V78" s="16">
        <f>base_HC[[#This Row],[Semaine (avec 2 internes)]]-5-6</f>
        <v>51</v>
      </c>
      <c r="W78" s="16">
        <f>base_HC[[#This Row],[Semaine (avec 2 internes)]]-5-6</f>
        <v>51</v>
      </c>
      <c r="X78" s="16">
        <f>base_HC[[#This Row],[Semaine (avec 2 internes)]]-5-6</f>
        <v>51</v>
      </c>
      <c r="Y78" s="16">
        <f>base_HC[[#This Row],[Semaine (avec 2 internes)]]-5-6</f>
        <v>51</v>
      </c>
      <c r="Z78" s="16">
        <f>base_HC[[#This Row],[Semaine (avec 2 internes)]]-5-6</f>
        <v>51</v>
      </c>
      <c r="AA78" s="16">
        <f>base_HC[[#This Row],[Semaine (avec 2 internes)]]-5-6</f>
        <v>51</v>
      </c>
      <c r="AB78" s="16">
        <f>base_HC[[#This Row],[Semaine (avec 2 internes)]]-5-6</f>
        <v>51</v>
      </c>
      <c r="AC78" s="16">
        <f>base_HC[[#This Row],[Semaine (avec 2 internes)]]-5-6</f>
        <v>51</v>
      </c>
      <c r="AD78" s="16">
        <v>0</v>
      </c>
      <c r="AE78" s="16">
        <v>6</v>
      </c>
      <c r="AH78" s="43"/>
      <c r="AJ78">
        <v>75</v>
      </c>
      <c r="AK78" s="28">
        <v>70</v>
      </c>
      <c r="AL78" s="28">
        <f>base_HDJ[[#This Row],[Semaine 
Nombre de demi-journées postées par semaine en médecins seniors]]-5</f>
        <v>65</v>
      </c>
      <c r="AN78">
        <v>75</v>
      </c>
      <c r="AO78" s="28">
        <v>70</v>
      </c>
      <c r="AP78" s="28">
        <f>base_HDS[[#This Row],[Semaine 
Nombre de demi-journées postées par semaine en médecins seniors]]-5</f>
        <v>65</v>
      </c>
      <c r="AR78">
        <v>74</v>
      </c>
      <c r="AS78" s="27">
        <f>ROUNDUP(Tableau4[[#This Row],[Nombre de consultations internes  ]]/30,0)</f>
        <v>3</v>
      </c>
    </row>
    <row r="79" spans="13:45" x14ac:dyDescent="0.35">
      <c r="M79">
        <v>75</v>
      </c>
      <c r="N79" s="16">
        <v>72</v>
      </c>
      <c r="O79" s="16">
        <f>base_HC[[#This Row],[Semaine 
Nombre de demi-journées postées par semaine en médecins seniors]]-5</f>
        <v>67</v>
      </c>
      <c r="P79" s="16">
        <f>base_HC[[#This Row],[Semaine (avec 1 internes)]]-5</f>
        <v>62</v>
      </c>
      <c r="Q79" s="16">
        <f>base_HC[[#This Row],[Semaine (avec 2 internes)]]-5</f>
        <v>57</v>
      </c>
      <c r="R79" s="16">
        <f>base_HC[[#This Row],[Semaine (avec 2 internes)]]-5</f>
        <v>57</v>
      </c>
      <c r="S79" s="16">
        <f>base_HC[[#This Row],[Semaine (avec 2 internes)]]-5-6</f>
        <v>51</v>
      </c>
      <c r="T79" s="16">
        <f>base_HC[[#This Row],[Semaine (avec 2 internes)]]-5-6</f>
        <v>51</v>
      </c>
      <c r="U79" s="16">
        <f>base_HC[[#This Row],[Semaine (avec 2 internes)]]-5-6</f>
        <v>51</v>
      </c>
      <c r="V79" s="16">
        <f>base_HC[[#This Row],[Semaine (avec 2 internes)]]-5-6</f>
        <v>51</v>
      </c>
      <c r="W79" s="16">
        <f>base_HC[[#This Row],[Semaine (avec 2 internes)]]-5-6</f>
        <v>51</v>
      </c>
      <c r="X79" s="16">
        <f>base_HC[[#This Row],[Semaine (avec 2 internes)]]-5-6</f>
        <v>51</v>
      </c>
      <c r="Y79" s="16">
        <f>base_HC[[#This Row],[Semaine (avec 2 internes)]]-5-6</f>
        <v>51</v>
      </c>
      <c r="Z79" s="16">
        <f>base_HC[[#This Row],[Semaine (avec 2 internes)]]-5-6</f>
        <v>51</v>
      </c>
      <c r="AA79" s="16">
        <f>base_HC[[#This Row],[Semaine (avec 2 internes)]]-5-6</f>
        <v>51</v>
      </c>
      <c r="AB79" s="16">
        <f>base_HC[[#This Row],[Semaine (avec 2 internes)]]-5-6</f>
        <v>51</v>
      </c>
      <c r="AC79" s="16">
        <f>base_HC[[#This Row],[Semaine (avec 2 internes)]]-5-6</f>
        <v>51</v>
      </c>
      <c r="AD79" s="16">
        <v>0</v>
      </c>
      <c r="AE79" s="16">
        <v>6</v>
      </c>
      <c r="AH79" s="43"/>
      <c r="AJ79">
        <v>76</v>
      </c>
      <c r="AK79" s="28">
        <v>70</v>
      </c>
      <c r="AL79" s="28">
        <f>base_HDJ[[#This Row],[Semaine 
Nombre de demi-journées postées par semaine en médecins seniors]]-5</f>
        <v>65</v>
      </c>
      <c r="AN79">
        <v>76</v>
      </c>
      <c r="AO79" s="28">
        <v>70</v>
      </c>
      <c r="AP79" s="28">
        <f>base_HDS[[#This Row],[Semaine 
Nombre de demi-journées postées par semaine en médecins seniors]]-5</f>
        <v>65</v>
      </c>
      <c r="AR79">
        <v>75</v>
      </c>
      <c r="AS79" s="27">
        <f>ROUNDUP(Tableau4[[#This Row],[Nombre de consultations internes  ]]/30,0)</f>
        <v>3</v>
      </c>
    </row>
    <row r="80" spans="13:45" x14ac:dyDescent="0.35">
      <c r="M80">
        <v>76</v>
      </c>
      <c r="N80" s="16">
        <v>72</v>
      </c>
      <c r="O80" s="16">
        <f>base_HC[[#This Row],[Semaine 
Nombre de demi-journées postées par semaine en médecins seniors]]-5</f>
        <v>67</v>
      </c>
      <c r="P80" s="16">
        <f>base_HC[[#This Row],[Semaine (avec 1 internes)]]-5</f>
        <v>62</v>
      </c>
      <c r="Q80" s="16">
        <f>base_HC[[#This Row],[Semaine (avec 2 internes)]]-5</f>
        <v>57</v>
      </c>
      <c r="R80" s="16">
        <f>base_HC[[#This Row],[Semaine (avec 2 internes)]]-5</f>
        <v>57</v>
      </c>
      <c r="S80" s="16">
        <f>base_HC[[#This Row],[Semaine (avec 2 internes)]]-5-6</f>
        <v>51</v>
      </c>
      <c r="T80" s="16">
        <f>base_HC[[#This Row],[Semaine (avec 2 internes)]]-5-6</f>
        <v>51</v>
      </c>
      <c r="U80" s="16">
        <f>base_HC[[#This Row],[Semaine (avec 2 internes)]]-5-6</f>
        <v>51</v>
      </c>
      <c r="V80" s="16">
        <f>base_HC[[#This Row],[Semaine (avec 2 internes)]]-5-6</f>
        <v>51</v>
      </c>
      <c r="W80" s="16">
        <f>base_HC[[#This Row],[Semaine (avec 2 internes)]]-5-6</f>
        <v>51</v>
      </c>
      <c r="X80" s="16">
        <f>base_HC[[#This Row],[Semaine (avec 2 internes)]]-5-6</f>
        <v>51</v>
      </c>
      <c r="Y80" s="16">
        <f>base_HC[[#This Row],[Semaine (avec 2 internes)]]-5-6</f>
        <v>51</v>
      </c>
      <c r="Z80" s="16">
        <f>base_HC[[#This Row],[Semaine (avec 2 internes)]]-5-6</f>
        <v>51</v>
      </c>
      <c r="AA80" s="16">
        <f>base_HC[[#This Row],[Semaine (avec 2 internes)]]-5-6</f>
        <v>51</v>
      </c>
      <c r="AB80" s="16">
        <f>base_HC[[#This Row],[Semaine (avec 2 internes)]]-5-6</f>
        <v>51</v>
      </c>
      <c r="AC80" s="16">
        <f>base_HC[[#This Row],[Semaine (avec 2 internes)]]-5-6</f>
        <v>51</v>
      </c>
      <c r="AD80" s="16">
        <v>0</v>
      </c>
      <c r="AE80" s="16">
        <v>6</v>
      </c>
      <c r="AH80" s="43"/>
      <c r="AJ80">
        <v>77</v>
      </c>
      <c r="AK80" s="28">
        <v>70</v>
      </c>
      <c r="AL80" s="28">
        <f>base_HDJ[[#This Row],[Semaine 
Nombre de demi-journées postées par semaine en médecins seniors]]-5</f>
        <v>65</v>
      </c>
      <c r="AN80">
        <v>77</v>
      </c>
      <c r="AO80" s="28">
        <v>70</v>
      </c>
      <c r="AP80" s="28">
        <f>base_HDS[[#This Row],[Semaine 
Nombre de demi-journées postées par semaine en médecins seniors]]-5</f>
        <v>65</v>
      </c>
      <c r="AR80">
        <v>76</v>
      </c>
      <c r="AS80" s="27">
        <f>ROUNDUP(Tableau4[[#This Row],[Nombre de consultations internes  ]]/30,0)</f>
        <v>3</v>
      </c>
    </row>
    <row r="81" spans="13:45" x14ac:dyDescent="0.35">
      <c r="M81">
        <v>77</v>
      </c>
      <c r="N81" s="16">
        <v>72</v>
      </c>
      <c r="O81" s="16">
        <f>base_HC[[#This Row],[Semaine 
Nombre de demi-journées postées par semaine en médecins seniors]]-5</f>
        <v>67</v>
      </c>
      <c r="P81" s="16">
        <f>base_HC[[#This Row],[Semaine (avec 1 internes)]]-5</f>
        <v>62</v>
      </c>
      <c r="Q81" s="16">
        <f>base_HC[[#This Row],[Semaine (avec 2 internes)]]-5</f>
        <v>57</v>
      </c>
      <c r="R81" s="16">
        <f>base_HC[[#This Row],[Semaine (avec 2 internes)]]-5</f>
        <v>57</v>
      </c>
      <c r="S81" s="16">
        <f>base_HC[[#This Row],[Semaine (avec 2 internes)]]-5-6</f>
        <v>51</v>
      </c>
      <c r="T81" s="16">
        <f>base_HC[[#This Row],[Semaine (avec 2 internes)]]-5-6</f>
        <v>51</v>
      </c>
      <c r="U81" s="16">
        <f>base_HC[[#This Row],[Semaine (avec 2 internes)]]-5-6</f>
        <v>51</v>
      </c>
      <c r="V81" s="16">
        <f>base_HC[[#This Row],[Semaine (avec 2 internes)]]-5-6</f>
        <v>51</v>
      </c>
      <c r="W81" s="16">
        <f>base_HC[[#This Row],[Semaine (avec 2 internes)]]-5-6</f>
        <v>51</v>
      </c>
      <c r="X81" s="16">
        <f>base_HC[[#This Row],[Semaine (avec 2 internes)]]-5-6</f>
        <v>51</v>
      </c>
      <c r="Y81" s="16">
        <f>base_HC[[#This Row],[Semaine (avec 2 internes)]]-5-6</f>
        <v>51</v>
      </c>
      <c r="Z81" s="16">
        <f>base_HC[[#This Row],[Semaine (avec 2 internes)]]-5-6</f>
        <v>51</v>
      </c>
      <c r="AA81" s="16">
        <f>base_HC[[#This Row],[Semaine (avec 2 internes)]]-5-6</f>
        <v>51</v>
      </c>
      <c r="AB81" s="16">
        <f>base_HC[[#This Row],[Semaine (avec 2 internes)]]-5-6</f>
        <v>51</v>
      </c>
      <c r="AC81" s="16">
        <f>base_HC[[#This Row],[Semaine (avec 2 internes)]]-5-6</f>
        <v>51</v>
      </c>
      <c r="AD81" s="16">
        <v>0</v>
      </c>
      <c r="AE81" s="16">
        <v>6</v>
      </c>
      <c r="AH81" s="43"/>
      <c r="AJ81">
        <v>78</v>
      </c>
      <c r="AK81" s="28">
        <v>70</v>
      </c>
      <c r="AL81" s="28">
        <f>base_HDJ[[#This Row],[Semaine 
Nombre de demi-journées postées par semaine en médecins seniors]]-5</f>
        <v>65</v>
      </c>
      <c r="AN81">
        <v>78</v>
      </c>
      <c r="AO81" s="28">
        <v>70</v>
      </c>
      <c r="AP81" s="28">
        <f>base_HDS[[#This Row],[Semaine 
Nombre de demi-journées postées par semaine en médecins seniors]]-5</f>
        <v>65</v>
      </c>
      <c r="AR81">
        <v>77</v>
      </c>
      <c r="AS81" s="27">
        <f>ROUNDUP(Tableau4[[#This Row],[Nombre de consultations internes  ]]/30,0)</f>
        <v>3</v>
      </c>
    </row>
    <row r="82" spans="13:45" x14ac:dyDescent="0.35">
      <c r="M82">
        <v>78</v>
      </c>
      <c r="N82" s="16">
        <v>72</v>
      </c>
      <c r="O82" s="16">
        <f>base_HC[[#This Row],[Semaine 
Nombre de demi-journées postées par semaine en médecins seniors]]-5</f>
        <v>67</v>
      </c>
      <c r="P82" s="16">
        <f>base_HC[[#This Row],[Semaine (avec 1 internes)]]-5</f>
        <v>62</v>
      </c>
      <c r="Q82" s="16">
        <f>base_HC[[#This Row],[Semaine (avec 2 internes)]]-5</f>
        <v>57</v>
      </c>
      <c r="R82" s="16">
        <f>base_HC[[#This Row],[Semaine (avec 2 internes)]]-5</f>
        <v>57</v>
      </c>
      <c r="S82" s="16">
        <f>base_HC[[#This Row],[Semaine (avec 2 internes)]]-5-6</f>
        <v>51</v>
      </c>
      <c r="T82" s="16">
        <f>base_HC[[#This Row],[Semaine (avec 2 internes)]]-5-6</f>
        <v>51</v>
      </c>
      <c r="U82" s="16">
        <f>base_HC[[#This Row],[Semaine (avec 2 internes)]]-5-6</f>
        <v>51</v>
      </c>
      <c r="V82" s="16">
        <f>base_HC[[#This Row],[Semaine (avec 2 internes)]]-5-6</f>
        <v>51</v>
      </c>
      <c r="W82" s="16">
        <f>base_HC[[#This Row],[Semaine (avec 2 internes)]]-5-6</f>
        <v>51</v>
      </c>
      <c r="X82" s="16">
        <f>base_HC[[#This Row],[Semaine (avec 2 internes)]]-5-6</f>
        <v>51</v>
      </c>
      <c r="Y82" s="16">
        <f>base_HC[[#This Row],[Semaine (avec 2 internes)]]-5-6</f>
        <v>51</v>
      </c>
      <c r="Z82" s="16">
        <f>base_HC[[#This Row],[Semaine (avec 2 internes)]]-5-6</f>
        <v>51</v>
      </c>
      <c r="AA82" s="16">
        <f>base_HC[[#This Row],[Semaine (avec 2 internes)]]-5-6</f>
        <v>51</v>
      </c>
      <c r="AB82" s="16">
        <f>base_HC[[#This Row],[Semaine (avec 2 internes)]]-5-6</f>
        <v>51</v>
      </c>
      <c r="AC82" s="16">
        <f>base_HC[[#This Row],[Semaine (avec 2 internes)]]-5-6</f>
        <v>51</v>
      </c>
      <c r="AD82" s="16">
        <v>0</v>
      </c>
      <c r="AE82" s="16">
        <v>6</v>
      </c>
      <c r="AH82" s="43"/>
      <c r="AJ82">
        <v>79</v>
      </c>
      <c r="AK82" s="28">
        <v>70</v>
      </c>
      <c r="AL82" s="28">
        <f>base_HDJ[[#This Row],[Semaine 
Nombre de demi-journées postées par semaine en médecins seniors]]-5</f>
        <v>65</v>
      </c>
      <c r="AN82">
        <v>79</v>
      </c>
      <c r="AO82" s="28">
        <v>70</v>
      </c>
      <c r="AP82" s="28">
        <f>base_HDS[[#This Row],[Semaine 
Nombre de demi-journées postées par semaine en médecins seniors]]-5</f>
        <v>65</v>
      </c>
      <c r="AR82">
        <v>78</v>
      </c>
      <c r="AS82" s="27">
        <f>ROUNDUP(Tableau4[[#This Row],[Nombre de consultations internes  ]]/30,0)</f>
        <v>3</v>
      </c>
    </row>
    <row r="83" spans="13:45" x14ac:dyDescent="0.35">
      <c r="M83">
        <v>79</v>
      </c>
      <c r="N83" s="16">
        <v>72</v>
      </c>
      <c r="O83" s="16">
        <f>base_HC[[#This Row],[Semaine 
Nombre de demi-journées postées par semaine en médecins seniors]]-5</f>
        <v>67</v>
      </c>
      <c r="P83" s="16">
        <f>base_HC[[#This Row],[Semaine (avec 1 internes)]]-5</f>
        <v>62</v>
      </c>
      <c r="Q83" s="16">
        <f>base_HC[[#This Row],[Semaine (avec 2 internes)]]-5</f>
        <v>57</v>
      </c>
      <c r="R83" s="16">
        <f>base_HC[[#This Row],[Semaine (avec 2 internes)]]-5</f>
        <v>57</v>
      </c>
      <c r="S83" s="16">
        <f>base_HC[[#This Row],[Semaine (avec 2 internes)]]-5-6</f>
        <v>51</v>
      </c>
      <c r="T83" s="16">
        <f>base_HC[[#This Row],[Semaine (avec 2 internes)]]-5-6</f>
        <v>51</v>
      </c>
      <c r="U83" s="16">
        <f>base_HC[[#This Row],[Semaine (avec 2 internes)]]-5-6</f>
        <v>51</v>
      </c>
      <c r="V83" s="16">
        <f>base_HC[[#This Row],[Semaine (avec 2 internes)]]-5-6</f>
        <v>51</v>
      </c>
      <c r="W83" s="16">
        <f>base_HC[[#This Row],[Semaine (avec 2 internes)]]-5-6</f>
        <v>51</v>
      </c>
      <c r="X83" s="16">
        <f>base_HC[[#This Row],[Semaine (avec 2 internes)]]-5-6</f>
        <v>51</v>
      </c>
      <c r="Y83" s="16">
        <f>base_HC[[#This Row],[Semaine (avec 2 internes)]]-5-6</f>
        <v>51</v>
      </c>
      <c r="Z83" s="16">
        <f>base_HC[[#This Row],[Semaine (avec 2 internes)]]-5-6</f>
        <v>51</v>
      </c>
      <c r="AA83" s="16">
        <f>base_HC[[#This Row],[Semaine (avec 2 internes)]]-5-6</f>
        <v>51</v>
      </c>
      <c r="AB83" s="16">
        <f>base_HC[[#This Row],[Semaine (avec 2 internes)]]-5-6</f>
        <v>51</v>
      </c>
      <c r="AC83" s="16">
        <f>base_HC[[#This Row],[Semaine (avec 2 internes)]]-5-6</f>
        <v>51</v>
      </c>
      <c r="AD83" s="16">
        <v>0</v>
      </c>
      <c r="AE83" s="16">
        <v>6</v>
      </c>
      <c r="AH83" s="43"/>
      <c r="AJ83">
        <v>80</v>
      </c>
      <c r="AK83" s="28">
        <v>70</v>
      </c>
      <c r="AL83" s="28">
        <f>base_HDJ[[#This Row],[Semaine 
Nombre de demi-journées postées par semaine en médecins seniors]]-5</f>
        <v>65</v>
      </c>
      <c r="AN83">
        <v>80</v>
      </c>
      <c r="AO83" s="28">
        <v>70</v>
      </c>
      <c r="AP83" s="28">
        <f>base_HDS[[#This Row],[Semaine 
Nombre de demi-journées postées par semaine en médecins seniors]]-5</f>
        <v>65</v>
      </c>
      <c r="AR83">
        <v>79</v>
      </c>
      <c r="AS83" s="27">
        <f>ROUNDUP(Tableau4[[#This Row],[Nombre de consultations internes  ]]/30,0)</f>
        <v>3</v>
      </c>
    </row>
    <row r="84" spans="13:45" x14ac:dyDescent="0.35">
      <c r="M84">
        <v>80</v>
      </c>
      <c r="N84" s="16">
        <v>77</v>
      </c>
      <c r="O84" s="16">
        <f>base_HC[[#This Row],[Semaine 
Nombre de demi-journées postées par semaine en médecins seniors]]-5</f>
        <v>72</v>
      </c>
      <c r="P84" s="16">
        <f>base_HC[[#This Row],[Semaine (avec 1 internes)]]-5</f>
        <v>67</v>
      </c>
      <c r="Q84" s="16">
        <f>base_HC[[#This Row],[Semaine (avec 2 internes)]]-5</f>
        <v>62</v>
      </c>
      <c r="R84" s="16">
        <f>base_HC[[#This Row],[Semaine (avec 2 internes)]]-5</f>
        <v>62</v>
      </c>
      <c r="S84" s="16">
        <f>base_HC[[#This Row],[Semaine (avec 2 internes)]]-5-12</f>
        <v>50</v>
      </c>
      <c r="T84" s="16">
        <f>base_HC[[#This Row],[Semaine (avec 2 internes)]]-5-12</f>
        <v>50</v>
      </c>
      <c r="U84" s="16">
        <f>base_HC[[#This Row],[Semaine (avec 2 internes)]]-5-12</f>
        <v>50</v>
      </c>
      <c r="V84" s="16">
        <f>base_HC[[#This Row],[Semaine (avec 2 internes)]]-5-12</f>
        <v>50</v>
      </c>
      <c r="W84" s="16">
        <f>base_HC[[#This Row],[Semaine (avec 2 internes)]]-5-12</f>
        <v>50</v>
      </c>
      <c r="X84" s="16">
        <f>base_HC[[#This Row],[Semaine (avec 2 internes)]]-5-12</f>
        <v>50</v>
      </c>
      <c r="Y84" s="16">
        <f>base_HC[[#This Row],[Semaine (avec 2 internes)]]-5-12</f>
        <v>50</v>
      </c>
      <c r="Z84" s="16">
        <f>base_HC[[#This Row],[Semaine (avec 2 internes)]]-5-12</f>
        <v>50</v>
      </c>
      <c r="AA84" s="16">
        <f>base_HC[[#This Row],[Semaine (avec 2 internes)]]-5-12</f>
        <v>50</v>
      </c>
      <c r="AB84" s="16">
        <f>base_HC[[#This Row],[Semaine (avec 2 internes)]]-5-12</f>
        <v>50</v>
      </c>
      <c r="AC84" s="16">
        <f>base_HC[[#This Row],[Semaine (avec 2 internes)]]-5-12</f>
        <v>50</v>
      </c>
      <c r="AD84" s="16">
        <v>0</v>
      </c>
      <c r="AE84" s="16">
        <v>7</v>
      </c>
      <c r="AH84" s="43"/>
      <c r="AJ84">
        <v>81</v>
      </c>
      <c r="AK84" s="28">
        <v>80</v>
      </c>
      <c r="AL84" s="28">
        <f>base_HDJ[[#This Row],[Semaine 
Nombre de demi-journées postées par semaine en médecins seniors]]-5</f>
        <v>75</v>
      </c>
      <c r="AN84">
        <v>81</v>
      </c>
      <c r="AO84" s="28">
        <v>80</v>
      </c>
      <c r="AP84" s="28">
        <f>base_HDS[[#This Row],[Semaine 
Nombre de demi-journées postées par semaine en médecins seniors]]-5</f>
        <v>75</v>
      </c>
      <c r="AR84">
        <v>80</v>
      </c>
      <c r="AS84" s="27">
        <f>ROUNDUP(Tableau4[[#This Row],[Nombre de consultations internes  ]]/30,0)</f>
        <v>3</v>
      </c>
    </row>
    <row r="85" spans="13:45" x14ac:dyDescent="0.35">
      <c r="M85">
        <v>81</v>
      </c>
      <c r="N85" s="16">
        <v>77</v>
      </c>
      <c r="O85" s="16">
        <f>base_HC[[#This Row],[Semaine 
Nombre de demi-journées postées par semaine en médecins seniors]]-5</f>
        <v>72</v>
      </c>
      <c r="P85" s="16">
        <f>base_HC[[#This Row],[Semaine (avec 1 internes)]]-5</f>
        <v>67</v>
      </c>
      <c r="Q85" s="16">
        <f>base_HC[[#This Row],[Semaine (avec 2 internes)]]-5</f>
        <v>62</v>
      </c>
      <c r="R85" s="16">
        <f>base_HC[[#This Row],[Semaine (avec 2 internes)]]-5</f>
        <v>62</v>
      </c>
      <c r="S85" s="16">
        <f>base_HC[[#This Row],[Semaine (avec 2 internes)]]-5-12</f>
        <v>50</v>
      </c>
      <c r="T85" s="16">
        <f>base_HC[[#This Row],[Semaine (avec 2 internes)]]-5-12</f>
        <v>50</v>
      </c>
      <c r="U85" s="16">
        <f>base_HC[[#This Row],[Semaine (avec 2 internes)]]-5-12</f>
        <v>50</v>
      </c>
      <c r="V85" s="16">
        <f>base_HC[[#This Row],[Semaine (avec 2 internes)]]-5-12</f>
        <v>50</v>
      </c>
      <c r="W85" s="16">
        <f>base_HC[[#This Row],[Semaine (avec 2 internes)]]-5-12</f>
        <v>50</v>
      </c>
      <c r="X85" s="16">
        <f>base_HC[[#This Row],[Semaine (avec 2 internes)]]-5-12</f>
        <v>50</v>
      </c>
      <c r="Y85" s="16">
        <f>base_HC[[#This Row],[Semaine (avec 2 internes)]]-5-12</f>
        <v>50</v>
      </c>
      <c r="Z85" s="16">
        <f>base_HC[[#This Row],[Semaine (avec 2 internes)]]-5-12</f>
        <v>50</v>
      </c>
      <c r="AA85" s="16">
        <f>base_HC[[#This Row],[Semaine (avec 2 internes)]]-5-12</f>
        <v>50</v>
      </c>
      <c r="AB85" s="16">
        <f>base_HC[[#This Row],[Semaine (avec 2 internes)]]-5-12</f>
        <v>50</v>
      </c>
      <c r="AC85" s="16">
        <f>base_HC[[#This Row],[Semaine (avec 2 internes)]]-5-12</f>
        <v>50</v>
      </c>
      <c r="AD85" s="16">
        <v>0</v>
      </c>
      <c r="AE85" s="16">
        <v>7</v>
      </c>
      <c r="AH85" s="43"/>
      <c r="AJ85">
        <v>82</v>
      </c>
      <c r="AK85" s="28">
        <v>80</v>
      </c>
      <c r="AL85" s="28">
        <f>base_HDJ[[#This Row],[Semaine 
Nombre de demi-journées postées par semaine en médecins seniors]]-5</f>
        <v>75</v>
      </c>
      <c r="AN85">
        <v>82</v>
      </c>
      <c r="AO85" s="28">
        <v>80</v>
      </c>
      <c r="AP85" s="28">
        <f>base_HDS[[#This Row],[Semaine 
Nombre de demi-journées postées par semaine en médecins seniors]]-5</f>
        <v>75</v>
      </c>
      <c r="AR85">
        <v>81</v>
      </c>
      <c r="AS85" s="27">
        <f>ROUNDUP(Tableau4[[#This Row],[Nombre de consultations internes  ]]/30,0)</f>
        <v>3</v>
      </c>
    </row>
    <row r="86" spans="13:45" x14ac:dyDescent="0.35">
      <c r="M86">
        <v>82</v>
      </c>
      <c r="N86" s="16">
        <v>77</v>
      </c>
      <c r="O86" s="16">
        <f>base_HC[[#This Row],[Semaine 
Nombre de demi-journées postées par semaine en médecins seniors]]-5</f>
        <v>72</v>
      </c>
      <c r="P86" s="16">
        <f>base_HC[[#This Row],[Semaine (avec 1 internes)]]-5</f>
        <v>67</v>
      </c>
      <c r="Q86" s="16">
        <f>base_HC[[#This Row],[Semaine (avec 2 internes)]]-5</f>
        <v>62</v>
      </c>
      <c r="R86" s="16">
        <f>base_HC[[#This Row],[Semaine (avec 2 internes)]]-5</f>
        <v>62</v>
      </c>
      <c r="S86" s="16">
        <f>base_HC[[#This Row],[Semaine (avec 2 internes)]]-5-12</f>
        <v>50</v>
      </c>
      <c r="T86" s="16">
        <f>base_HC[[#This Row],[Semaine (avec 2 internes)]]-5-12</f>
        <v>50</v>
      </c>
      <c r="U86" s="16">
        <f>base_HC[[#This Row],[Semaine (avec 2 internes)]]-5-12</f>
        <v>50</v>
      </c>
      <c r="V86" s="16">
        <f>base_HC[[#This Row],[Semaine (avec 2 internes)]]-5-12</f>
        <v>50</v>
      </c>
      <c r="W86" s="16">
        <f>base_HC[[#This Row],[Semaine (avec 2 internes)]]-5-12</f>
        <v>50</v>
      </c>
      <c r="X86" s="16">
        <f>base_HC[[#This Row],[Semaine (avec 2 internes)]]-5-12</f>
        <v>50</v>
      </c>
      <c r="Y86" s="16">
        <f>base_HC[[#This Row],[Semaine (avec 2 internes)]]-5-12</f>
        <v>50</v>
      </c>
      <c r="Z86" s="16">
        <f>base_HC[[#This Row],[Semaine (avec 2 internes)]]-5-12</f>
        <v>50</v>
      </c>
      <c r="AA86" s="16">
        <f>base_HC[[#This Row],[Semaine (avec 2 internes)]]-5-12</f>
        <v>50</v>
      </c>
      <c r="AB86" s="16">
        <f>base_HC[[#This Row],[Semaine (avec 2 internes)]]-5-12</f>
        <v>50</v>
      </c>
      <c r="AC86" s="16">
        <f>base_HC[[#This Row],[Semaine (avec 2 internes)]]-5-12</f>
        <v>50</v>
      </c>
      <c r="AD86" s="16">
        <v>0</v>
      </c>
      <c r="AE86" s="16">
        <v>7</v>
      </c>
      <c r="AH86" s="43"/>
      <c r="AJ86">
        <v>83</v>
      </c>
      <c r="AK86" s="28">
        <v>80</v>
      </c>
      <c r="AL86" s="28">
        <f>base_HDJ[[#This Row],[Semaine 
Nombre de demi-journées postées par semaine en médecins seniors]]-5</f>
        <v>75</v>
      </c>
      <c r="AN86">
        <v>83</v>
      </c>
      <c r="AO86" s="28">
        <v>80</v>
      </c>
      <c r="AP86" s="28">
        <f>base_HDS[[#This Row],[Semaine 
Nombre de demi-journées postées par semaine en médecins seniors]]-5</f>
        <v>75</v>
      </c>
      <c r="AR86">
        <v>82</v>
      </c>
      <c r="AS86" s="27">
        <f>ROUNDUP(Tableau4[[#This Row],[Nombre de consultations internes  ]]/30,0)</f>
        <v>3</v>
      </c>
    </row>
    <row r="87" spans="13:45" x14ac:dyDescent="0.35">
      <c r="M87">
        <v>83</v>
      </c>
      <c r="N87" s="16">
        <v>77</v>
      </c>
      <c r="O87" s="16">
        <f>base_HC[[#This Row],[Semaine 
Nombre de demi-journées postées par semaine en médecins seniors]]-5</f>
        <v>72</v>
      </c>
      <c r="P87" s="16">
        <f>base_HC[[#This Row],[Semaine (avec 1 internes)]]-5</f>
        <v>67</v>
      </c>
      <c r="Q87" s="16">
        <f>base_HC[[#This Row],[Semaine (avec 2 internes)]]-5</f>
        <v>62</v>
      </c>
      <c r="R87" s="16">
        <f>base_HC[[#This Row],[Semaine (avec 2 internes)]]-5</f>
        <v>62</v>
      </c>
      <c r="S87" s="16">
        <f>base_HC[[#This Row],[Semaine (avec 2 internes)]]-5-12</f>
        <v>50</v>
      </c>
      <c r="T87" s="16">
        <f>base_HC[[#This Row],[Semaine (avec 2 internes)]]-5-12</f>
        <v>50</v>
      </c>
      <c r="U87" s="16">
        <f>base_HC[[#This Row],[Semaine (avec 2 internes)]]-5-12</f>
        <v>50</v>
      </c>
      <c r="V87" s="16">
        <f>base_HC[[#This Row],[Semaine (avec 2 internes)]]-5-12</f>
        <v>50</v>
      </c>
      <c r="W87" s="16">
        <f>base_HC[[#This Row],[Semaine (avec 2 internes)]]-5-12</f>
        <v>50</v>
      </c>
      <c r="X87" s="16">
        <f>base_HC[[#This Row],[Semaine (avec 2 internes)]]-5-12</f>
        <v>50</v>
      </c>
      <c r="Y87" s="16">
        <f>base_HC[[#This Row],[Semaine (avec 2 internes)]]-5-12</f>
        <v>50</v>
      </c>
      <c r="Z87" s="16">
        <f>base_HC[[#This Row],[Semaine (avec 2 internes)]]-5-12</f>
        <v>50</v>
      </c>
      <c r="AA87" s="16">
        <f>base_HC[[#This Row],[Semaine (avec 2 internes)]]-5-12</f>
        <v>50</v>
      </c>
      <c r="AB87" s="16">
        <f>base_HC[[#This Row],[Semaine (avec 2 internes)]]-5-12</f>
        <v>50</v>
      </c>
      <c r="AC87" s="16">
        <f>base_HC[[#This Row],[Semaine (avec 2 internes)]]-5-12</f>
        <v>50</v>
      </c>
      <c r="AD87" s="16">
        <v>0</v>
      </c>
      <c r="AE87" s="16">
        <v>7</v>
      </c>
      <c r="AH87" s="43"/>
      <c r="AJ87">
        <v>84</v>
      </c>
      <c r="AK87" s="28">
        <v>80</v>
      </c>
      <c r="AL87" s="28">
        <f>base_HDJ[[#This Row],[Semaine 
Nombre de demi-journées postées par semaine en médecins seniors]]-5</f>
        <v>75</v>
      </c>
      <c r="AN87">
        <v>84</v>
      </c>
      <c r="AO87" s="28">
        <v>80</v>
      </c>
      <c r="AP87" s="28">
        <f>base_HDS[[#This Row],[Semaine 
Nombre de demi-journées postées par semaine en médecins seniors]]-5</f>
        <v>75</v>
      </c>
      <c r="AR87">
        <v>83</v>
      </c>
      <c r="AS87" s="27">
        <f>ROUNDUP(Tableau4[[#This Row],[Nombre de consultations internes  ]]/30,0)</f>
        <v>3</v>
      </c>
    </row>
    <row r="88" spans="13:45" x14ac:dyDescent="0.35">
      <c r="M88">
        <v>84</v>
      </c>
      <c r="N88" s="16">
        <v>77</v>
      </c>
      <c r="O88" s="16">
        <f>base_HC[[#This Row],[Semaine 
Nombre de demi-journées postées par semaine en médecins seniors]]-5</f>
        <v>72</v>
      </c>
      <c r="P88" s="16">
        <f>base_HC[[#This Row],[Semaine (avec 1 internes)]]-5</f>
        <v>67</v>
      </c>
      <c r="Q88" s="16">
        <f>base_HC[[#This Row],[Semaine (avec 2 internes)]]-5</f>
        <v>62</v>
      </c>
      <c r="R88" s="16">
        <f>base_HC[[#This Row],[Semaine (avec 2 internes)]]-5</f>
        <v>62</v>
      </c>
      <c r="S88" s="16">
        <f>base_HC[[#This Row],[Semaine (avec 2 internes)]]-5-12</f>
        <v>50</v>
      </c>
      <c r="T88" s="16">
        <f>base_HC[[#This Row],[Semaine (avec 2 internes)]]-5-12</f>
        <v>50</v>
      </c>
      <c r="U88" s="16">
        <f>base_HC[[#This Row],[Semaine (avec 2 internes)]]-5-12</f>
        <v>50</v>
      </c>
      <c r="V88" s="16">
        <f>base_HC[[#This Row],[Semaine (avec 2 internes)]]-5-12</f>
        <v>50</v>
      </c>
      <c r="W88" s="16">
        <f>base_HC[[#This Row],[Semaine (avec 2 internes)]]-5-12</f>
        <v>50</v>
      </c>
      <c r="X88" s="16">
        <f>base_HC[[#This Row],[Semaine (avec 2 internes)]]-5-12</f>
        <v>50</v>
      </c>
      <c r="Y88" s="16">
        <f>base_HC[[#This Row],[Semaine (avec 2 internes)]]-5-12</f>
        <v>50</v>
      </c>
      <c r="Z88" s="16">
        <f>base_HC[[#This Row],[Semaine (avec 2 internes)]]-5-12</f>
        <v>50</v>
      </c>
      <c r="AA88" s="16">
        <f>base_HC[[#This Row],[Semaine (avec 2 internes)]]-5-12</f>
        <v>50</v>
      </c>
      <c r="AB88" s="16">
        <f>base_HC[[#This Row],[Semaine (avec 2 internes)]]-5-12</f>
        <v>50</v>
      </c>
      <c r="AC88" s="16">
        <f>base_HC[[#This Row],[Semaine (avec 2 internes)]]-5-12</f>
        <v>50</v>
      </c>
      <c r="AD88" s="16">
        <v>0</v>
      </c>
      <c r="AE88" s="16">
        <v>7</v>
      </c>
      <c r="AH88" s="43"/>
      <c r="AJ88">
        <v>85</v>
      </c>
      <c r="AK88" s="28">
        <v>80</v>
      </c>
      <c r="AL88" s="28">
        <f>base_HDJ[[#This Row],[Semaine 
Nombre de demi-journées postées par semaine en médecins seniors]]-5</f>
        <v>75</v>
      </c>
      <c r="AN88">
        <v>85</v>
      </c>
      <c r="AO88" s="28">
        <v>80</v>
      </c>
      <c r="AP88" s="28">
        <f>base_HDS[[#This Row],[Semaine 
Nombre de demi-journées postées par semaine en médecins seniors]]-5</f>
        <v>75</v>
      </c>
      <c r="AR88">
        <v>84</v>
      </c>
      <c r="AS88" s="27">
        <f>ROUNDUP(Tableau4[[#This Row],[Nombre de consultations internes  ]]/30,0)</f>
        <v>3</v>
      </c>
    </row>
    <row r="89" spans="13:45" x14ac:dyDescent="0.35">
      <c r="M89">
        <v>85</v>
      </c>
      <c r="N89" s="16">
        <v>83</v>
      </c>
      <c r="O89" s="16">
        <f>base_HC[[#This Row],[Semaine 
Nombre de demi-journées postées par semaine en médecins seniors]]-5</f>
        <v>78</v>
      </c>
      <c r="P89" s="16">
        <f>base_HC[[#This Row],[Semaine (avec 1 internes)]]-5</f>
        <v>73</v>
      </c>
      <c r="Q89" s="16">
        <f>base_HC[[#This Row],[Semaine (avec 2 internes)]]-5</f>
        <v>68</v>
      </c>
      <c r="R89" s="16">
        <f>base_HC[[#This Row],[Semaine (avec 2 internes)]]-5</f>
        <v>68</v>
      </c>
      <c r="S89" s="16">
        <f>base_HC[[#This Row],[Semaine (avec 2 internes)]]-5-12</f>
        <v>56</v>
      </c>
      <c r="T89" s="16">
        <f>base_HC[[#This Row],[Semaine (avec 2 internes)]]-5-12</f>
        <v>56</v>
      </c>
      <c r="U89" s="16">
        <f>base_HC[[#This Row],[Semaine (avec 2 internes)]]-5-12</f>
        <v>56</v>
      </c>
      <c r="V89" s="16">
        <f>base_HC[[#This Row],[Semaine (avec 2 internes)]]-5-12</f>
        <v>56</v>
      </c>
      <c r="W89" s="16">
        <f>base_HC[[#This Row],[Semaine (avec 2 internes)]]-5-12</f>
        <v>56</v>
      </c>
      <c r="X89" s="16">
        <f>base_HC[[#This Row],[Semaine (avec 2 internes)]]-5-12</f>
        <v>56</v>
      </c>
      <c r="Y89" s="16">
        <f>base_HC[[#This Row],[Semaine (avec 2 internes)]]-5-12</f>
        <v>56</v>
      </c>
      <c r="Z89" s="16">
        <f>base_HC[[#This Row],[Semaine (avec 2 internes)]]-5-12</f>
        <v>56</v>
      </c>
      <c r="AA89" s="16">
        <f>base_HC[[#This Row],[Semaine (avec 2 internes)]]-5-12</f>
        <v>56</v>
      </c>
      <c r="AB89" s="16">
        <f>base_HC[[#This Row],[Semaine (avec 2 internes)]]-5-12</f>
        <v>56</v>
      </c>
      <c r="AC89" s="16">
        <f>base_HC[[#This Row],[Semaine (avec 2 internes)]]-5-12</f>
        <v>56</v>
      </c>
      <c r="AD89" s="16">
        <v>0</v>
      </c>
      <c r="AE89" s="16">
        <v>7</v>
      </c>
      <c r="AH89" s="43"/>
      <c r="AJ89">
        <v>86</v>
      </c>
      <c r="AK89" s="28">
        <v>80</v>
      </c>
      <c r="AL89" s="28">
        <f>base_HDJ[[#This Row],[Semaine 
Nombre de demi-journées postées par semaine en médecins seniors]]-5</f>
        <v>75</v>
      </c>
      <c r="AN89">
        <v>86</v>
      </c>
      <c r="AO89" s="28">
        <v>80</v>
      </c>
      <c r="AP89" s="28">
        <f>base_HDS[[#This Row],[Semaine 
Nombre de demi-journées postées par semaine en médecins seniors]]-5</f>
        <v>75</v>
      </c>
      <c r="AR89">
        <v>85</v>
      </c>
      <c r="AS89" s="27">
        <f>ROUNDUP(Tableau4[[#This Row],[Nombre de consultations internes  ]]/30,0)</f>
        <v>3</v>
      </c>
    </row>
    <row r="90" spans="13:45" x14ac:dyDescent="0.35">
      <c r="M90">
        <v>86</v>
      </c>
      <c r="N90" s="16">
        <v>83</v>
      </c>
      <c r="O90" s="16">
        <f>base_HC[[#This Row],[Semaine 
Nombre de demi-journées postées par semaine en médecins seniors]]-5</f>
        <v>78</v>
      </c>
      <c r="P90" s="16">
        <f>base_HC[[#This Row],[Semaine (avec 1 internes)]]-5</f>
        <v>73</v>
      </c>
      <c r="Q90" s="16">
        <f>base_HC[[#This Row],[Semaine (avec 2 internes)]]-5</f>
        <v>68</v>
      </c>
      <c r="R90" s="16">
        <f>base_HC[[#This Row],[Semaine (avec 2 internes)]]-5</f>
        <v>68</v>
      </c>
      <c r="S90" s="16">
        <f>base_HC[[#This Row],[Semaine (avec 2 internes)]]-5-12</f>
        <v>56</v>
      </c>
      <c r="T90" s="16">
        <f>base_HC[[#This Row],[Semaine (avec 2 internes)]]-5-12</f>
        <v>56</v>
      </c>
      <c r="U90" s="16">
        <f>base_HC[[#This Row],[Semaine (avec 2 internes)]]-5-12</f>
        <v>56</v>
      </c>
      <c r="V90" s="16">
        <f>base_HC[[#This Row],[Semaine (avec 2 internes)]]-5-12</f>
        <v>56</v>
      </c>
      <c r="W90" s="16">
        <f>base_HC[[#This Row],[Semaine (avec 2 internes)]]-5-12</f>
        <v>56</v>
      </c>
      <c r="X90" s="16">
        <f>base_HC[[#This Row],[Semaine (avec 2 internes)]]-5-12</f>
        <v>56</v>
      </c>
      <c r="Y90" s="16">
        <f>base_HC[[#This Row],[Semaine (avec 2 internes)]]-5-12</f>
        <v>56</v>
      </c>
      <c r="Z90" s="16">
        <f>base_HC[[#This Row],[Semaine (avec 2 internes)]]-5-12</f>
        <v>56</v>
      </c>
      <c r="AA90" s="16">
        <f>base_HC[[#This Row],[Semaine (avec 2 internes)]]-5-12</f>
        <v>56</v>
      </c>
      <c r="AB90" s="16">
        <f>base_HC[[#This Row],[Semaine (avec 2 internes)]]-5-12</f>
        <v>56</v>
      </c>
      <c r="AC90" s="16">
        <f>base_HC[[#This Row],[Semaine (avec 2 internes)]]-5-12</f>
        <v>56</v>
      </c>
      <c r="AD90" s="16">
        <v>0</v>
      </c>
      <c r="AE90" s="16">
        <v>7</v>
      </c>
      <c r="AH90" s="43"/>
      <c r="AJ90">
        <v>87</v>
      </c>
      <c r="AK90" s="28">
        <v>80</v>
      </c>
      <c r="AL90" s="28">
        <f>base_HDJ[[#This Row],[Semaine 
Nombre de demi-journées postées par semaine en médecins seniors]]-5</f>
        <v>75</v>
      </c>
      <c r="AN90">
        <v>87</v>
      </c>
      <c r="AO90" s="28">
        <v>80</v>
      </c>
      <c r="AP90" s="28">
        <f>base_HDS[[#This Row],[Semaine 
Nombre de demi-journées postées par semaine en médecins seniors]]-5</f>
        <v>75</v>
      </c>
      <c r="AR90">
        <v>86</v>
      </c>
      <c r="AS90" s="27">
        <f>ROUNDUP(Tableau4[[#This Row],[Nombre de consultations internes  ]]/30,0)</f>
        <v>3</v>
      </c>
    </row>
    <row r="91" spans="13:45" x14ac:dyDescent="0.35">
      <c r="M91">
        <v>87</v>
      </c>
      <c r="N91" s="16">
        <v>83</v>
      </c>
      <c r="O91" s="16">
        <f>base_HC[[#This Row],[Semaine 
Nombre de demi-journées postées par semaine en médecins seniors]]-5</f>
        <v>78</v>
      </c>
      <c r="P91" s="16">
        <f>base_HC[[#This Row],[Semaine (avec 1 internes)]]-5</f>
        <v>73</v>
      </c>
      <c r="Q91" s="16">
        <f>base_HC[[#This Row],[Semaine (avec 2 internes)]]-5</f>
        <v>68</v>
      </c>
      <c r="R91" s="16">
        <f>base_HC[[#This Row],[Semaine (avec 2 internes)]]-5</f>
        <v>68</v>
      </c>
      <c r="S91" s="16">
        <f>base_HC[[#This Row],[Semaine (avec 2 internes)]]-5-12</f>
        <v>56</v>
      </c>
      <c r="T91" s="16">
        <f>base_HC[[#This Row],[Semaine (avec 2 internes)]]-5-12</f>
        <v>56</v>
      </c>
      <c r="U91" s="16">
        <f>base_HC[[#This Row],[Semaine (avec 2 internes)]]-5-12</f>
        <v>56</v>
      </c>
      <c r="V91" s="16">
        <f>base_HC[[#This Row],[Semaine (avec 2 internes)]]-5-12</f>
        <v>56</v>
      </c>
      <c r="W91" s="16">
        <f>base_HC[[#This Row],[Semaine (avec 2 internes)]]-5-12</f>
        <v>56</v>
      </c>
      <c r="X91" s="16">
        <f>base_HC[[#This Row],[Semaine (avec 2 internes)]]-5-12</f>
        <v>56</v>
      </c>
      <c r="Y91" s="16">
        <f>base_HC[[#This Row],[Semaine (avec 2 internes)]]-5-12</f>
        <v>56</v>
      </c>
      <c r="Z91" s="16">
        <f>base_HC[[#This Row],[Semaine (avec 2 internes)]]-5-12</f>
        <v>56</v>
      </c>
      <c r="AA91" s="16">
        <f>base_HC[[#This Row],[Semaine (avec 2 internes)]]-5-12</f>
        <v>56</v>
      </c>
      <c r="AB91" s="16">
        <f>base_HC[[#This Row],[Semaine (avec 2 internes)]]-5-12</f>
        <v>56</v>
      </c>
      <c r="AC91" s="16">
        <f>base_HC[[#This Row],[Semaine (avec 2 internes)]]-5-12</f>
        <v>56</v>
      </c>
      <c r="AD91" s="16">
        <v>0</v>
      </c>
      <c r="AE91" s="16">
        <v>7</v>
      </c>
      <c r="AH91" s="43"/>
      <c r="AJ91">
        <v>88</v>
      </c>
      <c r="AK91" s="28">
        <v>80</v>
      </c>
      <c r="AL91" s="28">
        <f>base_HDJ[[#This Row],[Semaine 
Nombre de demi-journées postées par semaine en médecins seniors]]-5</f>
        <v>75</v>
      </c>
      <c r="AN91">
        <v>88</v>
      </c>
      <c r="AO91" s="28">
        <v>80</v>
      </c>
      <c r="AP91" s="28">
        <f>base_HDS[[#This Row],[Semaine 
Nombre de demi-journées postées par semaine en médecins seniors]]-5</f>
        <v>75</v>
      </c>
      <c r="AR91">
        <v>87</v>
      </c>
      <c r="AS91" s="27">
        <f>ROUNDUP(Tableau4[[#This Row],[Nombre de consultations internes  ]]/30,0)</f>
        <v>3</v>
      </c>
    </row>
    <row r="92" spans="13:45" x14ac:dyDescent="0.35">
      <c r="M92">
        <v>88</v>
      </c>
      <c r="N92" s="16">
        <v>83</v>
      </c>
      <c r="O92" s="16">
        <f>base_HC[[#This Row],[Semaine 
Nombre de demi-journées postées par semaine en médecins seniors]]-5</f>
        <v>78</v>
      </c>
      <c r="P92" s="16">
        <f>base_HC[[#This Row],[Semaine (avec 1 internes)]]-5</f>
        <v>73</v>
      </c>
      <c r="Q92" s="16">
        <f>base_HC[[#This Row],[Semaine (avec 2 internes)]]-5</f>
        <v>68</v>
      </c>
      <c r="R92" s="16">
        <f>base_HC[[#This Row],[Semaine (avec 2 internes)]]-5</f>
        <v>68</v>
      </c>
      <c r="S92" s="16">
        <f>base_HC[[#This Row],[Semaine (avec 2 internes)]]-5-12</f>
        <v>56</v>
      </c>
      <c r="T92" s="16">
        <f>base_HC[[#This Row],[Semaine (avec 2 internes)]]-5-12</f>
        <v>56</v>
      </c>
      <c r="U92" s="16">
        <f>base_HC[[#This Row],[Semaine (avec 2 internes)]]-5-12</f>
        <v>56</v>
      </c>
      <c r="V92" s="16">
        <f>base_HC[[#This Row],[Semaine (avec 2 internes)]]-5-12</f>
        <v>56</v>
      </c>
      <c r="W92" s="16">
        <f>base_HC[[#This Row],[Semaine (avec 2 internes)]]-5-12</f>
        <v>56</v>
      </c>
      <c r="X92" s="16">
        <f>base_HC[[#This Row],[Semaine (avec 2 internes)]]-5-12</f>
        <v>56</v>
      </c>
      <c r="Y92" s="16">
        <f>base_HC[[#This Row],[Semaine (avec 2 internes)]]-5-12</f>
        <v>56</v>
      </c>
      <c r="Z92" s="16">
        <f>base_HC[[#This Row],[Semaine (avec 2 internes)]]-5-12</f>
        <v>56</v>
      </c>
      <c r="AA92" s="16">
        <f>base_HC[[#This Row],[Semaine (avec 2 internes)]]-5-12</f>
        <v>56</v>
      </c>
      <c r="AB92" s="16">
        <f>base_HC[[#This Row],[Semaine (avec 2 internes)]]-5-12</f>
        <v>56</v>
      </c>
      <c r="AC92" s="16">
        <f>base_HC[[#This Row],[Semaine (avec 2 internes)]]-5-12</f>
        <v>56</v>
      </c>
      <c r="AD92" s="16">
        <v>0</v>
      </c>
      <c r="AE92" s="16">
        <v>7</v>
      </c>
      <c r="AH92" s="43"/>
      <c r="AJ92">
        <v>89</v>
      </c>
      <c r="AK92" s="28">
        <v>80</v>
      </c>
      <c r="AL92" s="28">
        <f>base_HDJ[[#This Row],[Semaine 
Nombre de demi-journées postées par semaine en médecins seniors]]-5</f>
        <v>75</v>
      </c>
      <c r="AN92">
        <v>89</v>
      </c>
      <c r="AO92" s="28">
        <v>80</v>
      </c>
      <c r="AP92" s="28">
        <f>base_HDS[[#This Row],[Semaine 
Nombre de demi-journées postées par semaine en médecins seniors]]-5</f>
        <v>75</v>
      </c>
      <c r="AR92">
        <v>88</v>
      </c>
      <c r="AS92" s="27">
        <f>ROUNDUP(Tableau4[[#This Row],[Nombre de consultations internes  ]]/30,0)</f>
        <v>3</v>
      </c>
    </row>
    <row r="93" spans="13:45" x14ac:dyDescent="0.35">
      <c r="M93">
        <v>89</v>
      </c>
      <c r="N93" s="16">
        <v>83</v>
      </c>
      <c r="O93" s="16">
        <f>base_HC[[#This Row],[Semaine 
Nombre de demi-journées postées par semaine en médecins seniors]]-5</f>
        <v>78</v>
      </c>
      <c r="P93" s="16">
        <f>base_HC[[#This Row],[Semaine (avec 1 internes)]]-5</f>
        <v>73</v>
      </c>
      <c r="Q93" s="16">
        <f>base_HC[[#This Row],[Semaine (avec 2 internes)]]-5</f>
        <v>68</v>
      </c>
      <c r="R93" s="16">
        <f>base_HC[[#This Row],[Semaine (avec 2 internes)]]-5</f>
        <v>68</v>
      </c>
      <c r="S93" s="16">
        <f>base_HC[[#This Row],[Semaine (avec 2 internes)]]-5-12</f>
        <v>56</v>
      </c>
      <c r="T93" s="16">
        <f>base_HC[[#This Row],[Semaine (avec 2 internes)]]-5-12</f>
        <v>56</v>
      </c>
      <c r="U93" s="16">
        <f>base_HC[[#This Row],[Semaine (avec 2 internes)]]-5-12</f>
        <v>56</v>
      </c>
      <c r="V93" s="16">
        <f>base_HC[[#This Row],[Semaine (avec 2 internes)]]-5-12</f>
        <v>56</v>
      </c>
      <c r="W93" s="16">
        <f>base_HC[[#This Row],[Semaine (avec 2 internes)]]-5-12</f>
        <v>56</v>
      </c>
      <c r="X93" s="16">
        <f>base_HC[[#This Row],[Semaine (avec 2 internes)]]-5-12</f>
        <v>56</v>
      </c>
      <c r="Y93" s="16">
        <f>base_HC[[#This Row],[Semaine (avec 2 internes)]]-5-12</f>
        <v>56</v>
      </c>
      <c r="Z93" s="16">
        <f>base_HC[[#This Row],[Semaine (avec 2 internes)]]-5-12</f>
        <v>56</v>
      </c>
      <c r="AA93" s="16">
        <f>base_HC[[#This Row],[Semaine (avec 2 internes)]]-5-12</f>
        <v>56</v>
      </c>
      <c r="AB93" s="16">
        <f>base_HC[[#This Row],[Semaine (avec 2 internes)]]-5-12</f>
        <v>56</v>
      </c>
      <c r="AC93" s="16">
        <f>base_HC[[#This Row],[Semaine (avec 2 internes)]]-5-12</f>
        <v>56</v>
      </c>
      <c r="AD93" s="16">
        <v>0</v>
      </c>
      <c r="AE93" s="16">
        <v>7</v>
      </c>
      <c r="AH93" s="43"/>
      <c r="AJ93">
        <v>90</v>
      </c>
      <c r="AK93" s="28">
        <v>80</v>
      </c>
      <c r="AL93" s="28">
        <f>base_HDJ[[#This Row],[Semaine 
Nombre de demi-journées postées par semaine en médecins seniors]]-5</f>
        <v>75</v>
      </c>
      <c r="AN93">
        <v>90</v>
      </c>
      <c r="AO93" s="28">
        <v>80</v>
      </c>
      <c r="AP93" s="28">
        <f>base_HDS[[#This Row],[Semaine 
Nombre de demi-journées postées par semaine en médecins seniors]]-5</f>
        <v>75</v>
      </c>
      <c r="AR93">
        <v>89</v>
      </c>
      <c r="AS93" s="27">
        <f>ROUNDUP(Tableau4[[#This Row],[Nombre de consultations internes  ]]/30,0)</f>
        <v>3</v>
      </c>
    </row>
    <row r="94" spans="13:45" x14ac:dyDescent="0.35">
      <c r="M94">
        <v>90</v>
      </c>
      <c r="N94" s="16">
        <v>83</v>
      </c>
      <c r="O94" s="16">
        <f>base_HC[[#This Row],[Semaine 
Nombre de demi-journées postées par semaine en médecins seniors]]-5</f>
        <v>78</v>
      </c>
      <c r="P94" s="16">
        <f>base_HC[[#This Row],[Semaine (avec 1 internes)]]-5</f>
        <v>73</v>
      </c>
      <c r="Q94" s="16">
        <f>base_HC[[#This Row],[Semaine (avec 2 internes)]]-5</f>
        <v>68</v>
      </c>
      <c r="R94" s="16">
        <f>base_HC[[#This Row],[Semaine (avec 2 internes)]]-5</f>
        <v>68</v>
      </c>
      <c r="S94" s="16">
        <f>base_HC[[#This Row],[Semaine (avec 2 internes)]]-5-12</f>
        <v>56</v>
      </c>
      <c r="T94" s="16">
        <f>base_HC[[#This Row],[Semaine (avec 2 internes)]]-5-12</f>
        <v>56</v>
      </c>
      <c r="U94" s="16">
        <f>base_HC[[#This Row],[Semaine (avec 2 internes)]]-5-12</f>
        <v>56</v>
      </c>
      <c r="V94" s="16">
        <f>base_HC[[#This Row],[Semaine (avec 2 internes)]]-5-12</f>
        <v>56</v>
      </c>
      <c r="W94" s="16">
        <f>base_HC[[#This Row],[Semaine (avec 2 internes)]]-5-12</f>
        <v>56</v>
      </c>
      <c r="X94" s="16">
        <f>base_HC[[#This Row],[Semaine (avec 2 internes)]]-5-12</f>
        <v>56</v>
      </c>
      <c r="Y94" s="16">
        <f>base_HC[[#This Row],[Semaine (avec 2 internes)]]-5-12</f>
        <v>56</v>
      </c>
      <c r="Z94" s="16">
        <f>base_HC[[#This Row],[Semaine (avec 2 internes)]]-5-12</f>
        <v>56</v>
      </c>
      <c r="AA94" s="16">
        <f>base_HC[[#This Row],[Semaine (avec 2 internes)]]-5-12</f>
        <v>56</v>
      </c>
      <c r="AB94" s="16">
        <f>base_HC[[#This Row],[Semaine (avec 2 internes)]]-5-12</f>
        <v>56</v>
      </c>
      <c r="AC94" s="16">
        <f>base_HC[[#This Row],[Semaine (avec 2 internes)]]-5-12</f>
        <v>56</v>
      </c>
      <c r="AD94" s="16">
        <v>0</v>
      </c>
      <c r="AE94" s="16">
        <v>7</v>
      </c>
      <c r="AH94" s="43"/>
      <c r="AJ94">
        <v>91</v>
      </c>
      <c r="AK94" s="28">
        <v>90</v>
      </c>
      <c r="AL94" s="28">
        <f>base_HDJ[[#This Row],[Semaine 
Nombre de demi-journées postées par semaine en médecins seniors]]-5</f>
        <v>85</v>
      </c>
      <c r="AN94">
        <v>91</v>
      </c>
      <c r="AO94" s="28">
        <v>90</v>
      </c>
      <c r="AP94" s="28">
        <f>base_HDS[[#This Row],[Semaine 
Nombre de demi-journées postées par semaine en médecins seniors]]-5</f>
        <v>85</v>
      </c>
      <c r="AR94">
        <v>90</v>
      </c>
      <c r="AS94" s="27">
        <f>ROUNDUP(Tableau4[[#This Row],[Nombre de consultations internes  ]]/30,0)</f>
        <v>3</v>
      </c>
    </row>
    <row r="95" spans="13:45" x14ac:dyDescent="0.35">
      <c r="M95">
        <v>91</v>
      </c>
      <c r="N95" s="16">
        <v>83</v>
      </c>
      <c r="O95" s="16">
        <f>base_HC[[#This Row],[Semaine 
Nombre de demi-journées postées par semaine en médecins seniors]]-5</f>
        <v>78</v>
      </c>
      <c r="P95" s="16">
        <f>base_HC[[#This Row],[Semaine (avec 1 internes)]]-5</f>
        <v>73</v>
      </c>
      <c r="Q95" s="16">
        <f>base_HC[[#This Row],[Semaine (avec 2 internes)]]-5</f>
        <v>68</v>
      </c>
      <c r="R95" s="16">
        <f>base_HC[[#This Row],[Semaine (avec 2 internes)]]-5</f>
        <v>68</v>
      </c>
      <c r="S95" s="16">
        <f>base_HC[[#This Row],[Semaine (avec 2 internes)]]-5-12</f>
        <v>56</v>
      </c>
      <c r="T95" s="16">
        <f>base_HC[[#This Row],[Semaine (avec 2 internes)]]-5-12</f>
        <v>56</v>
      </c>
      <c r="U95" s="16">
        <f>base_HC[[#This Row],[Semaine (avec 2 internes)]]-5-12</f>
        <v>56</v>
      </c>
      <c r="V95" s="16">
        <f>base_HC[[#This Row],[Semaine (avec 2 internes)]]-5-12</f>
        <v>56</v>
      </c>
      <c r="W95" s="16">
        <f>base_HC[[#This Row],[Semaine (avec 2 internes)]]-5-12</f>
        <v>56</v>
      </c>
      <c r="X95" s="16">
        <f>base_HC[[#This Row],[Semaine (avec 2 internes)]]-5-12</f>
        <v>56</v>
      </c>
      <c r="Y95" s="16">
        <f>base_HC[[#This Row],[Semaine (avec 2 internes)]]-5-12</f>
        <v>56</v>
      </c>
      <c r="Z95" s="16">
        <f>base_HC[[#This Row],[Semaine (avec 2 internes)]]-5-12</f>
        <v>56</v>
      </c>
      <c r="AA95" s="16">
        <f>base_HC[[#This Row],[Semaine (avec 2 internes)]]-5-12</f>
        <v>56</v>
      </c>
      <c r="AB95" s="16">
        <f>base_HC[[#This Row],[Semaine (avec 2 internes)]]-5-12</f>
        <v>56</v>
      </c>
      <c r="AC95" s="16">
        <f>base_HC[[#This Row],[Semaine (avec 2 internes)]]-5-12</f>
        <v>56</v>
      </c>
      <c r="AD95" s="16">
        <v>0</v>
      </c>
      <c r="AE95" s="16">
        <v>7</v>
      </c>
      <c r="AH95" s="43"/>
      <c r="AJ95">
        <v>92</v>
      </c>
      <c r="AK95" s="28">
        <v>90</v>
      </c>
      <c r="AL95" s="28">
        <f>base_HDJ[[#This Row],[Semaine 
Nombre de demi-journées postées par semaine en médecins seniors]]-5</f>
        <v>85</v>
      </c>
      <c r="AN95">
        <v>92</v>
      </c>
      <c r="AO95" s="28">
        <v>90</v>
      </c>
      <c r="AP95" s="28">
        <f>base_HDS[[#This Row],[Semaine 
Nombre de demi-journées postées par semaine en médecins seniors]]-5</f>
        <v>85</v>
      </c>
      <c r="AR95">
        <v>91</v>
      </c>
      <c r="AS95" s="27">
        <f>ROUNDUP(Tableau4[[#This Row],[Nombre de consultations internes  ]]/30,0)</f>
        <v>4</v>
      </c>
    </row>
    <row r="96" spans="13:45" x14ac:dyDescent="0.35">
      <c r="M96">
        <v>92</v>
      </c>
      <c r="N96" s="16">
        <v>88</v>
      </c>
      <c r="O96" s="16">
        <f>base_HC[[#This Row],[Semaine 
Nombre de demi-journées postées par semaine en médecins seniors]]-5</f>
        <v>83</v>
      </c>
      <c r="P96" s="16">
        <f>base_HC[[#This Row],[Semaine (avec 1 internes)]]-5</f>
        <v>78</v>
      </c>
      <c r="Q96" s="16">
        <f>base_HC[[#This Row],[Semaine (avec 2 internes)]]-5</f>
        <v>73</v>
      </c>
      <c r="R96" s="16">
        <f>base_HC[[#This Row],[Semaine (avec 3 internes)]]-5</f>
        <v>68</v>
      </c>
      <c r="S96" s="16">
        <f>base_HC[[#This Row],[Semaine (avec 3 internes)]]-5-12</f>
        <v>56</v>
      </c>
      <c r="T96" s="16">
        <f>base_HC[[#This Row],[Semaine (avec 3 internes)]]-5-12</f>
        <v>56</v>
      </c>
      <c r="U96" s="16">
        <f>base_HC[[#This Row],[Semaine (avec 3 internes)]]-5-12</f>
        <v>56</v>
      </c>
      <c r="V96" s="16">
        <f>base_HC[[#This Row],[Semaine (avec 3 internes)]]-5-12</f>
        <v>56</v>
      </c>
      <c r="W96" s="16">
        <f>base_HC[[#This Row],[Semaine (avec 3 internes)]]-5-12</f>
        <v>56</v>
      </c>
      <c r="X96" s="16">
        <f>base_HC[[#This Row],[Semaine (avec 3 internes)]]-5-12</f>
        <v>56</v>
      </c>
      <c r="Y96" s="16">
        <f>base_HC[[#This Row],[Semaine (avec 3 internes)]]-5-12</f>
        <v>56</v>
      </c>
      <c r="Z96" s="16">
        <f>base_HC[[#This Row],[Semaine (avec 3 internes)]]-5-12</f>
        <v>56</v>
      </c>
      <c r="AA96" s="16">
        <f>base_HC[[#This Row],[Semaine (avec 3 internes)]]-5-12</f>
        <v>56</v>
      </c>
      <c r="AB96" s="16">
        <f>base_HC[[#This Row],[Semaine (avec 3 internes)]]-5-12</f>
        <v>56</v>
      </c>
      <c r="AC96" s="16">
        <f>base_HC[[#This Row],[Semaine (avec 3 internes)]]-5-12</f>
        <v>56</v>
      </c>
      <c r="AD96" s="16">
        <v>0</v>
      </c>
      <c r="AE96" s="16">
        <v>8</v>
      </c>
      <c r="AH96" s="43"/>
      <c r="AJ96">
        <v>93</v>
      </c>
      <c r="AK96" s="28">
        <v>90</v>
      </c>
      <c r="AL96" s="28">
        <f>base_HDJ[[#This Row],[Semaine 
Nombre de demi-journées postées par semaine en médecins seniors]]-5</f>
        <v>85</v>
      </c>
      <c r="AN96">
        <v>93</v>
      </c>
      <c r="AO96" s="28">
        <v>90</v>
      </c>
      <c r="AP96" s="28">
        <f>base_HDS[[#This Row],[Semaine 
Nombre de demi-journées postées par semaine en médecins seniors]]-5</f>
        <v>85</v>
      </c>
      <c r="AR96">
        <v>92</v>
      </c>
      <c r="AS96" s="27">
        <f>ROUNDUP(Tableau4[[#This Row],[Nombre de consultations internes  ]]/30,0)</f>
        <v>4</v>
      </c>
    </row>
    <row r="97" spans="13:45" x14ac:dyDescent="0.35">
      <c r="M97">
        <v>93</v>
      </c>
      <c r="N97" s="16">
        <v>88</v>
      </c>
      <c r="O97" s="16">
        <f>base_HC[[#This Row],[Semaine 
Nombre de demi-journées postées par semaine en médecins seniors]]-5</f>
        <v>83</v>
      </c>
      <c r="P97" s="16">
        <f>base_HC[[#This Row],[Semaine (avec 1 internes)]]-5</f>
        <v>78</v>
      </c>
      <c r="Q97" s="16">
        <f>base_HC[[#This Row],[Semaine (avec 2 internes)]]-5</f>
        <v>73</v>
      </c>
      <c r="R97" s="16">
        <f>base_HC[[#This Row],[Semaine (avec 3 internes)]]-5</f>
        <v>68</v>
      </c>
      <c r="S97" s="16">
        <f>base_HC[[#This Row],[Semaine (avec 3 internes)]]-5-12</f>
        <v>56</v>
      </c>
      <c r="T97" s="16">
        <f>base_HC[[#This Row],[Semaine (avec 3 internes)]]-5-12</f>
        <v>56</v>
      </c>
      <c r="U97" s="16">
        <f>base_HC[[#This Row],[Semaine (avec 3 internes)]]-5-12</f>
        <v>56</v>
      </c>
      <c r="V97" s="16">
        <f>base_HC[[#This Row],[Semaine (avec 3 internes)]]-5-12</f>
        <v>56</v>
      </c>
      <c r="W97" s="16">
        <f>base_HC[[#This Row],[Semaine (avec 3 internes)]]-5-12</f>
        <v>56</v>
      </c>
      <c r="X97" s="16">
        <f>base_HC[[#This Row],[Semaine (avec 3 internes)]]-5-12</f>
        <v>56</v>
      </c>
      <c r="Y97" s="16">
        <f>base_HC[[#This Row],[Semaine (avec 3 internes)]]-5-12</f>
        <v>56</v>
      </c>
      <c r="Z97" s="16">
        <f>base_HC[[#This Row],[Semaine (avec 3 internes)]]-5-12</f>
        <v>56</v>
      </c>
      <c r="AA97" s="16">
        <f>base_HC[[#This Row],[Semaine (avec 3 internes)]]-5-12</f>
        <v>56</v>
      </c>
      <c r="AB97" s="16">
        <f>base_HC[[#This Row],[Semaine (avec 3 internes)]]-5-12</f>
        <v>56</v>
      </c>
      <c r="AC97" s="16">
        <f>base_HC[[#This Row],[Semaine (avec 3 internes)]]-5-12</f>
        <v>56</v>
      </c>
      <c r="AD97" s="16">
        <v>0</v>
      </c>
      <c r="AE97" s="16">
        <v>8</v>
      </c>
      <c r="AH97" s="43"/>
      <c r="AJ97">
        <v>94</v>
      </c>
      <c r="AK97" s="28">
        <v>90</v>
      </c>
      <c r="AL97" s="28">
        <f>base_HDJ[[#This Row],[Semaine 
Nombre de demi-journées postées par semaine en médecins seniors]]-5</f>
        <v>85</v>
      </c>
      <c r="AN97">
        <v>94</v>
      </c>
      <c r="AO97" s="28">
        <v>90</v>
      </c>
      <c r="AP97" s="28">
        <f>base_HDS[[#This Row],[Semaine 
Nombre de demi-journées postées par semaine en médecins seniors]]-5</f>
        <v>85</v>
      </c>
      <c r="AR97">
        <v>93</v>
      </c>
      <c r="AS97" s="27">
        <f>ROUNDUP(Tableau4[[#This Row],[Nombre de consultations internes  ]]/30,0)</f>
        <v>4</v>
      </c>
    </row>
    <row r="98" spans="13:45" x14ac:dyDescent="0.35">
      <c r="M98">
        <v>94</v>
      </c>
      <c r="N98" s="16">
        <v>88</v>
      </c>
      <c r="O98" s="16">
        <f>base_HC[[#This Row],[Semaine 
Nombre de demi-journées postées par semaine en médecins seniors]]-5</f>
        <v>83</v>
      </c>
      <c r="P98" s="16">
        <f>base_HC[[#This Row],[Semaine (avec 1 internes)]]-5</f>
        <v>78</v>
      </c>
      <c r="Q98" s="16">
        <f>base_HC[[#This Row],[Semaine (avec 2 internes)]]-5</f>
        <v>73</v>
      </c>
      <c r="R98" s="16">
        <f>base_HC[[#This Row],[Semaine (avec 3 internes)]]-5</f>
        <v>68</v>
      </c>
      <c r="S98" s="16">
        <f>base_HC[[#This Row],[Semaine (avec 3 internes)]]-5-12</f>
        <v>56</v>
      </c>
      <c r="T98" s="16">
        <f>base_HC[[#This Row],[Semaine (avec 3 internes)]]-5-12</f>
        <v>56</v>
      </c>
      <c r="U98" s="16">
        <f>base_HC[[#This Row],[Semaine (avec 3 internes)]]-5-12</f>
        <v>56</v>
      </c>
      <c r="V98" s="16">
        <f>base_HC[[#This Row],[Semaine (avec 3 internes)]]-5-12</f>
        <v>56</v>
      </c>
      <c r="W98" s="16">
        <f>base_HC[[#This Row],[Semaine (avec 3 internes)]]-5-12</f>
        <v>56</v>
      </c>
      <c r="X98" s="16">
        <f>base_HC[[#This Row],[Semaine (avec 3 internes)]]-5-12</f>
        <v>56</v>
      </c>
      <c r="Y98" s="16">
        <f>base_HC[[#This Row],[Semaine (avec 3 internes)]]-5-12</f>
        <v>56</v>
      </c>
      <c r="Z98" s="16">
        <f>base_HC[[#This Row],[Semaine (avec 3 internes)]]-5-12</f>
        <v>56</v>
      </c>
      <c r="AA98" s="16">
        <f>base_HC[[#This Row],[Semaine (avec 3 internes)]]-5-12</f>
        <v>56</v>
      </c>
      <c r="AB98" s="16">
        <f>base_HC[[#This Row],[Semaine (avec 3 internes)]]-5-12</f>
        <v>56</v>
      </c>
      <c r="AC98" s="16">
        <f>base_HC[[#This Row],[Semaine (avec 3 internes)]]-5-12</f>
        <v>56</v>
      </c>
      <c r="AD98" s="16">
        <v>0</v>
      </c>
      <c r="AE98" s="16">
        <v>8</v>
      </c>
      <c r="AH98" s="43"/>
      <c r="AJ98">
        <v>95</v>
      </c>
      <c r="AK98" s="28">
        <v>90</v>
      </c>
      <c r="AL98" s="28">
        <f>base_HDJ[[#This Row],[Semaine 
Nombre de demi-journées postées par semaine en médecins seniors]]-5</f>
        <v>85</v>
      </c>
      <c r="AN98">
        <v>95</v>
      </c>
      <c r="AO98" s="28">
        <v>90</v>
      </c>
      <c r="AP98" s="28">
        <f>base_HDS[[#This Row],[Semaine 
Nombre de demi-journées postées par semaine en médecins seniors]]-5</f>
        <v>85</v>
      </c>
      <c r="AR98">
        <v>94</v>
      </c>
      <c r="AS98" s="27">
        <f>ROUNDUP(Tableau4[[#This Row],[Nombre de consultations internes  ]]/30,0)</f>
        <v>4</v>
      </c>
    </row>
    <row r="99" spans="13:45" x14ac:dyDescent="0.35">
      <c r="M99">
        <v>95</v>
      </c>
      <c r="N99" s="16">
        <v>88</v>
      </c>
      <c r="O99" s="16">
        <f>base_HC[[#This Row],[Semaine 
Nombre de demi-journées postées par semaine en médecins seniors]]-5</f>
        <v>83</v>
      </c>
      <c r="P99" s="16">
        <f>base_HC[[#This Row],[Semaine (avec 1 internes)]]-5</f>
        <v>78</v>
      </c>
      <c r="Q99" s="16">
        <f>base_HC[[#This Row],[Semaine (avec 2 internes)]]-5</f>
        <v>73</v>
      </c>
      <c r="R99" s="16">
        <f>base_HC[[#This Row],[Semaine (avec 3 internes)]]-5</f>
        <v>68</v>
      </c>
      <c r="S99" s="16">
        <f>base_HC[[#This Row],[Semaine (avec 3 internes)]]-5-12</f>
        <v>56</v>
      </c>
      <c r="T99" s="16">
        <f>base_HC[[#This Row],[Semaine (avec 3 internes)]]-5-12</f>
        <v>56</v>
      </c>
      <c r="U99" s="16">
        <f>base_HC[[#This Row],[Semaine (avec 3 internes)]]-5-12</f>
        <v>56</v>
      </c>
      <c r="V99" s="16">
        <f>base_HC[[#This Row],[Semaine (avec 3 internes)]]-5-12</f>
        <v>56</v>
      </c>
      <c r="W99" s="16">
        <f>base_HC[[#This Row],[Semaine (avec 3 internes)]]-5-12</f>
        <v>56</v>
      </c>
      <c r="X99" s="16">
        <f>base_HC[[#This Row],[Semaine (avec 3 internes)]]-5-12</f>
        <v>56</v>
      </c>
      <c r="Y99" s="16">
        <f>base_HC[[#This Row],[Semaine (avec 3 internes)]]-5-12</f>
        <v>56</v>
      </c>
      <c r="Z99" s="16">
        <f>base_HC[[#This Row],[Semaine (avec 3 internes)]]-5-12</f>
        <v>56</v>
      </c>
      <c r="AA99" s="16">
        <f>base_HC[[#This Row],[Semaine (avec 3 internes)]]-5-12</f>
        <v>56</v>
      </c>
      <c r="AB99" s="16">
        <f>base_HC[[#This Row],[Semaine (avec 3 internes)]]-5-12</f>
        <v>56</v>
      </c>
      <c r="AC99" s="16">
        <f>base_HC[[#This Row],[Semaine (avec 3 internes)]]-5-12</f>
        <v>56</v>
      </c>
      <c r="AD99" s="16">
        <v>0</v>
      </c>
      <c r="AE99" s="16">
        <v>8</v>
      </c>
      <c r="AH99" s="43"/>
      <c r="AJ99">
        <v>96</v>
      </c>
      <c r="AK99" s="28">
        <v>90</v>
      </c>
      <c r="AL99" s="28">
        <f>base_HDJ[[#This Row],[Semaine 
Nombre de demi-journées postées par semaine en médecins seniors]]-5</f>
        <v>85</v>
      </c>
      <c r="AN99">
        <v>96</v>
      </c>
      <c r="AO99" s="28">
        <v>90</v>
      </c>
      <c r="AP99" s="28">
        <f>base_HDS[[#This Row],[Semaine 
Nombre de demi-journées postées par semaine en médecins seniors]]-5</f>
        <v>85</v>
      </c>
      <c r="AR99">
        <v>95</v>
      </c>
      <c r="AS99" s="27">
        <f>ROUNDUP(Tableau4[[#This Row],[Nombre de consultations internes  ]]/30,0)</f>
        <v>4</v>
      </c>
    </row>
    <row r="100" spans="13:45" x14ac:dyDescent="0.35">
      <c r="M100">
        <v>96</v>
      </c>
      <c r="N100" s="16">
        <v>88</v>
      </c>
      <c r="O100" s="16">
        <f>base_HC[[#This Row],[Semaine 
Nombre de demi-journées postées par semaine en médecins seniors]]-5</f>
        <v>83</v>
      </c>
      <c r="P100" s="16">
        <f>base_HC[[#This Row],[Semaine (avec 1 internes)]]-5</f>
        <v>78</v>
      </c>
      <c r="Q100" s="16">
        <f>base_HC[[#This Row],[Semaine (avec 2 internes)]]-5</f>
        <v>73</v>
      </c>
      <c r="R100" s="16">
        <f>base_HC[[#This Row],[Semaine (avec 3 internes)]]-5</f>
        <v>68</v>
      </c>
      <c r="S100" s="16">
        <f>base_HC[[#This Row],[Semaine (avec 3 internes)]]-5-12</f>
        <v>56</v>
      </c>
      <c r="T100" s="16">
        <f>base_HC[[#This Row],[Semaine (avec 3 internes)]]-5-12</f>
        <v>56</v>
      </c>
      <c r="U100" s="16">
        <f>base_HC[[#This Row],[Semaine (avec 3 internes)]]-5-12</f>
        <v>56</v>
      </c>
      <c r="V100" s="16">
        <f>base_HC[[#This Row],[Semaine (avec 3 internes)]]-5-12</f>
        <v>56</v>
      </c>
      <c r="W100" s="16">
        <f>base_HC[[#This Row],[Semaine (avec 3 internes)]]-5-12</f>
        <v>56</v>
      </c>
      <c r="X100" s="16">
        <f>base_HC[[#This Row],[Semaine (avec 3 internes)]]-5-12</f>
        <v>56</v>
      </c>
      <c r="Y100" s="16">
        <f>base_HC[[#This Row],[Semaine (avec 3 internes)]]-5-12</f>
        <v>56</v>
      </c>
      <c r="Z100" s="16">
        <f>base_HC[[#This Row],[Semaine (avec 3 internes)]]-5-12</f>
        <v>56</v>
      </c>
      <c r="AA100" s="16">
        <f>base_HC[[#This Row],[Semaine (avec 3 internes)]]-5-12</f>
        <v>56</v>
      </c>
      <c r="AB100" s="16">
        <f>base_HC[[#This Row],[Semaine (avec 3 internes)]]-5-12</f>
        <v>56</v>
      </c>
      <c r="AC100" s="16">
        <f>base_HC[[#This Row],[Semaine (avec 3 internes)]]-5-12</f>
        <v>56</v>
      </c>
      <c r="AD100" s="16">
        <v>0</v>
      </c>
      <c r="AE100" s="16">
        <v>8</v>
      </c>
      <c r="AH100" s="43"/>
      <c r="AJ100">
        <v>97</v>
      </c>
      <c r="AK100" s="28">
        <v>90</v>
      </c>
      <c r="AL100" s="28">
        <f>base_HDJ[[#This Row],[Semaine 
Nombre de demi-journées postées par semaine en médecins seniors]]-5</f>
        <v>85</v>
      </c>
      <c r="AN100">
        <v>97</v>
      </c>
      <c r="AO100" s="28">
        <v>90</v>
      </c>
      <c r="AP100" s="28">
        <f>base_HDS[[#This Row],[Semaine 
Nombre de demi-journées postées par semaine en médecins seniors]]-5</f>
        <v>85</v>
      </c>
      <c r="AR100">
        <v>96</v>
      </c>
      <c r="AS100" s="27">
        <f>ROUNDUP(Tableau4[[#This Row],[Nombre de consultations internes  ]]/30,0)</f>
        <v>4</v>
      </c>
    </row>
    <row r="101" spans="13:45" x14ac:dyDescent="0.35">
      <c r="M101">
        <v>97</v>
      </c>
      <c r="N101" s="16">
        <v>94</v>
      </c>
      <c r="O101" s="16">
        <f>base_HC[[#This Row],[Semaine 
Nombre de demi-journées postées par semaine en médecins seniors]]-5</f>
        <v>89</v>
      </c>
      <c r="P101" s="16">
        <f>base_HC[[#This Row],[Semaine (avec 1 internes)]]-5</f>
        <v>84</v>
      </c>
      <c r="Q101" s="16">
        <f>base_HC[[#This Row],[Semaine (avec 2 internes)]]-5</f>
        <v>79</v>
      </c>
      <c r="R101" s="16">
        <f>base_HC[[#This Row],[Semaine (avec 3 internes)]]-5</f>
        <v>74</v>
      </c>
      <c r="S101" s="16">
        <f>base_HC[[#This Row],[Semaine (avec 3 internes)]]-5-12</f>
        <v>62</v>
      </c>
      <c r="T101" s="16">
        <f>base_HC[[#This Row],[Semaine (avec 3 internes)]]-5-12</f>
        <v>62</v>
      </c>
      <c r="U101" s="16">
        <f>base_HC[[#This Row],[Semaine (avec 3 internes)]]-5-12</f>
        <v>62</v>
      </c>
      <c r="V101" s="16">
        <f>base_HC[[#This Row],[Semaine (avec 3 internes)]]-5-12</f>
        <v>62</v>
      </c>
      <c r="W101" s="16">
        <f>base_HC[[#This Row],[Semaine (avec 3 internes)]]-5-12</f>
        <v>62</v>
      </c>
      <c r="X101" s="16">
        <f>base_HC[[#This Row],[Semaine (avec 3 internes)]]-5-12</f>
        <v>62</v>
      </c>
      <c r="Y101" s="16">
        <f>base_HC[[#This Row],[Semaine (avec 3 internes)]]-5-12</f>
        <v>62</v>
      </c>
      <c r="Z101" s="16">
        <f>base_HC[[#This Row],[Semaine (avec 3 internes)]]-5-12</f>
        <v>62</v>
      </c>
      <c r="AA101" s="16">
        <f>base_HC[[#This Row],[Semaine (avec 3 internes)]]-5-12</f>
        <v>62</v>
      </c>
      <c r="AB101" s="16">
        <f>base_HC[[#This Row],[Semaine (avec 3 internes)]]-5-12</f>
        <v>62</v>
      </c>
      <c r="AC101" s="16">
        <f>base_HC[[#This Row],[Semaine (avec 3 internes)]]-5-12</f>
        <v>62</v>
      </c>
      <c r="AD101" s="16">
        <v>0</v>
      </c>
      <c r="AE101" s="16">
        <v>8</v>
      </c>
      <c r="AH101" s="43"/>
      <c r="AJ101">
        <v>98</v>
      </c>
      <c r="AK101" s="28">
        <v>90</v>
      </c>
      <c r="AL101" s="28">
        <f>base_HDJ[[#This Row],[Semaine 
Nombre de demi-journées postées par semaine en médecins seniors]]-5</f>
        <v>85</v>
      </c>
      <c r="AN101">
        <v>98</v>
      </c>
      <c r="AO101" s="28">
        <v>90</v>
      </c>
      <c r="AP101" s="28">
        <f>base_HDS[[#This Row],[Semaine 
Nombre de demi-journées postées par semaine en médecins seniors]]-5</f>
        <v>85</v>
      </c>
      <c r="AR101">
        <v>97</v>
      </c>
      <c r="AS101" s="27">
        <f>ROUNDUP(Tableau4[[#This Row],[Nombre de consultations internes  ]]/30,0)</f>
        <v>4</v>
      </c>
    </row>
    <row r="102" spans="13:45" x14ac:dyDescent="0.35">
      <c r="M102">
        <v>98</v>
      </c>
      <c r="N102" s="16">
        <v>94</v>
      </c>
      <c r="O102" s="16">
        <f>base_HC[[#This Row],[Semaine 
Nombre de demi-journées postées par semaine en médecins seniors]]-5</f>
        <v>89</v>
      </c>
      <c r="P102" s="16">
        <f>base_HC[[#This Row],[Semaine (avec 1 internes)]]-5</f>
        <v>84</v>
      </c>
      <c r="Q102" s="16">
        <f>base_HC[[#This Row],[Semaine (avec 2 internes)]]-5</f>
        <v>79</v>
      </c>
      <c r="R102" s="16">
        <f>base_HC[[#This Row],[Semaine (avec 3 internes)]]-5</f>
        <v>74</v>
      </c>
      <c r="S102" s="16">
        <f>base_HC[[#This Row],[Semaine (avec 3 internes)]]-5-12</f>
        <v>62</v>
      </c>
      <c r="T102" s="16">
        <f>base_HC[[#This Row],[Semaine (avec 3 internes)]]-5-12</f>
        <v>62</v>
      </c>
      <c r="U102" s="16">
        <f>base_HC[[#This Row],[Semaine (avec 3 internes)]]-5-12</f>
        <v>62</v>
      </c>
      <c r="V102" s="16">
        <f>base_HC[[#This Row],[Semaine (avec 3 internes)]]-5-12</f>
        <v>62</v>
      </c>
      <c r="W102" s="16">
        <f>base_HC[[#This Row],[Semaine (avec 3 internes)]]-5-12</f>
        <v>62</v>
      </c>
      <c r="X102" s="16">
        <f>base_HC[[#This Row],[Semaine (avec 3 internes)]]-5-12</f>
        <v>62</v>
      </c>
      <c r="Y102" s="16">
        <f>base_HC[[#This Row],[Semaine (avec 3 internes)]]-5-12</f>
        <v>62</v>
      </c>
      <c r="Z102" s="16">
        <f>base_HC[[#This Row],[Semaine (avec 3 internes)]]-5-12</f>
        <v>62</v>
      </c>
      <c r="AA102" s="16">
        <f>base_HC[[#This Row],[Semaine (avec 3 internes)]]-5-12</f>
        <v>62</v>
      </c>
      <c r="AB102" s="16">
        <f>base_HC[[#This Row],[Semaine (avec 3 internes)]]-5-12</f>
        <v>62</v>
      </c>
      <c r="AC102" s="16">
        <f>base_HC[[#This Row],[Semaine (avec 3 internes)]]-5-12</f>
        <v>62</v>
      </c>
      <c r="AD102" s="16">
        <v>0</v>
      </c>
      <c r="AE102" s="16">
        <v>8</v>
      </c>
      <c r="AH102" s="43"/>
      <c r="AJ102">
        <v>99</v>
      </c>
      <c r="AK102" s="28">
        <v>90</v>
      </c>
      <c r="AL102" s="28">
        <f>base_HDJ[[#This Row],[Semaine 
Nombre de demi-journées postées par semaine en médecins seniors]]-5</f>
        <v>85</v>
      </c>
      <c r="AN102">
        <v>99</v>
      </c>
      <c r="AO102" s="28">
        <v>90</v>
      </c>
      <c r="AP102" s="28">
        <f>base_HDS[[#This Row],[Semaine 
Nombre de demi-journées postées par semaine en médecins seniors]]-5</f>
        <v>85</v>
      </c>
      <c r="AR102">
        <v>98</v>
      </c>
      <c r="AS102" s="27">
        <f>ROUNDUP(Tableau4[[#This Row],[Nombre de consultations internes  ]]/30,0)</f>
        <v>4</v>
      </c>
    </row>
    <row r="103" spans="13:45" x14ac:dyDescent="0.35">
      <c r="M103">
        <v>99</v>
      </c>
      <c r="N103" s="16">
        <v>94</v>
      </c>
      <c r="O103" s="16">
        <f>base_HC[[#This Row],[Semaine 
Nombre de demi-journées postées par semaine en médecins seniors]]-5</f>
        <v>89</v>
      </c>
      <c r="P103" s="16">
        <f>base_HC[[#This Row],[Semaine (avec 1 internes)]]-5</f>
        <v>84</v>
      </c>
      <c r="Q103" s="16">
        <f>base_HC[[#This Row],[Semaine (avec 2 internes)]]-5</f>
        <v>79</v>
      </c>
      <c r="R103" s="16">
        <f>base_HC[[#This Row],[Semaine (avec 3 internes)]]-5</f>
        <v>74</v>
      </c>
      <c r="S103" s="16">
        <f>base_HC[[#This Row],[Semaine (avec 3 internes)]]-5-12</f>
        <v>62</v>
      </c>
      <c r="T103" s="16">
        <f>base_HC[[#This Row],[Semaine (avec 3 internes)]]-5-12</f>
        <v>62</v>
      </c>
      <c r="U103" s="16">
        <f>base_HC[[#This Row],[Semaine (avec 3 internes)]]-5-12</f>
        <v>62</v>
      </c>
      <c r="V103" s="16">
        <f>base_HC[[#This Row],[Semaine (avec 3 internes)]]-5-12</f>
        <v>62</v>
      </c>
      <c r="W103" s="16">
        <f>base_HC[[#This Row],[Semaine (avec 3 internes)]]-5-12</f>
        <v>62</v>
      </c>
      <c r="X103" s="16">
        <f>base_HC[[#This Row],[Semaine (avec 3 internes)]]-5-12</f>
        <v>62</v>
      </c>
      <c r="Y103" s="16">
        <f>base_HC[[#This Row],[Semaine (avec 3 internes)]]-5-12</f>
        <v>62</v>
      </c>
      <c r="Z103" s="16">
        <f>base_HC[[#This Row],[Semaine (avec 3 internes)]]-5-12</f>
        <v>62</v>
      </c>
      <c r="AA103" s="16">
        <f>base_HC[[#This Row],[Semaine (avec 3 internes)]]-5-12</f>
        <v>62</v>
      </c>
      <c r="AB103" s="16">
        <f>base_HC[[#This Row],[Semaine (avec 3 internes)]]-5-12</f>
        <v>62</v>
      </c>
      <c r="AC103" s="16">
        <f>base_HC[[#This Row],[Semaine (avec 3 internes)]]-5-12</f>
        <v>62</v>
      </c>
      <c r="AD103" s="16">
        <v>0</v>
      </c>
      <c r="AE103" s="16">
        <v>8</v>
      </c>
      <c r="AH103" s="43"/>
      <c r="AJ103">
        <v>100</v>
      </c>
      <c r="AK103" s="28">
        <v>90</v>
      </c>
      <c r="AL103" s="28">
        <f>base_HDJ[[#This Row],[Semaine 
Nombre de demi-journées postées par semaine en médecins seniors]]-5</f>
        <v>85</v>
      </c>
      <c r="AN103">
        <v>100</v>
      </c>
      <c r="AO103" s="28">
        <v>90</v>
      </c>
      <c r="AP103" s="28">
        <f>base_HDS[[#This Row],[Semaine 
Nombre de demi-journées postées par semaine en médecins seniors]]-5</f>
        <v>85</v>
      </c>
      <c r="AR103">
        <v>99</v>
      </c>
      <c r="AS103" s="27">
        <f>ROUNDUP(Tableau4[[#This Row],[Nombre de consultations internes  ]]/30,0)</f>
        <v>4</v>
      </c>
    </row>
    <row r="104" spans="13:45" x14ac:dyDescent="0.35">
      <c r="M104">
        <v>100</v>
      </c>
      <c r="N104" s="16">
        <v>94</v>
      </c>
      <c r="O104" s="16">
        <f>base_HC[[#This Row],[Semaine 
Nombre de demi-journées postées par semaine en médecins seniors]]-5</f>
        <v>89</v>
      </c>
      <c r="P104" s="16">
        <f>base_HC[[#This Row],[Semaine (avec 1 internes)]]-5</f>
        <v>84</v>
      </c>
      <c r="Q104" s="16">
        <f>base_HC[[#This Row],[Semaine (avec 2 internes)]]-5</f>
        <v>79</v>
      </c>
      <c r="R104" s="16">
        <f>base_HC[[#This Row],[Semaine (avec 3 internes)]]-5</f>
        <v>74</v>
      </c>
      <c r="S104" s="16">
        <f>base_HC[[#This Row],[Semaine (avec 3 internes)]]-5-12</f>
        <v>62</v>
      </c>
      <c r="T104" s="16">
        <f>base_HC[[#This Row],[Semaine (avec 3 internes)]]-5-12</f>
        <v>62</v>
      </c>
      <c r="U104" s="16">
        <f>base_HC[[#This Row],[Semaine (avec 3 internes)]]-5-12</f>
        <v>62</v>
      </c>
      <c r="V104" s="16">
        <f>base_HC[[#This Row],[Semaine (avec 3 internes)]]-5-12</f>
        <v>62</v>
      </c>
      <c r="W104" s="16">
        <f>base_HC[[#This Row],[Semaine (avec 3 internes)]]-5-12</f>
        <v>62</v>
      </c>
      <c r="X104" s="16">
        <f>base_HC[[#This Row],[Semaine (avec 3 internes)]]-5-12</f>
        <v>62</v>
      </c>
      <c r="Y104" s="16">
        <f>base_HC[[#This Row],[Semaine (avec 3 internes)]]-5-12</f>
        <v>62</v>
      </c>
      <c r="Z104" s="16">
        <f>base_HC[[#This Row],[Semaine (avec 3 internes)]]-5-12</f>
        <v>62</v>
      </c>
      <c r="AA104" s="16">
        <f>base_HC[[#This Row],[Semaine (avec 3 internes)]]-5-12</f>
        <v>62</v>
      </c>
      <c r="AB104" s="16">
        <f>base_HC[[#This Row],[Semaine (avec 3 internes)]]-5-12</f>
        <v>62</v>
      </c>
      <c r="AC104" s="16">
        <f>base_HC[[#This Row],[Semaine (avec 3 internes)]]-5-12</f>
        <v>62</v>
      </c>
      <c r="AD104" s="16">
        <v>0</v>
      </c>
      <c r="AE104" s="16">
        <v>8</v>
      </c>
      <c r="AL104" s="28" t="e">
        <f>base_HDJ[[#This Row],[Semaine 
Nombre de demi-journées postées par semaine en médecins seniors]]-5</f>
        <v>#VALUE!</v>
      </c>
      <c r="AP104" s="28" t="e">
        <f>base_HDS[[#This Row],[Semaine 
Nombre de demi-journées postées par semaine en médecins seniors]]-5</f>
        <v>#VALUE!</v>
      </c>
      <c r="AR104">
        <v>100</v>
      </c>
      <c r="AS104" s="27">
        <f>ROUNDUP(Tableau4[[#This Row],[Nombre de consultations internes  ]]/30,0)</f>
        <v>4</v>
      </c>
    </row>
    <row r="105" spans="13:45" x14ac:dyDescent="0.35">
      <c r="N105" s="16"/>
      <c r="O105" s="16"/>
      <c r="P105" s="16"/>
      <c r="Q105" s="16"/>
      <c r="R105" s="16"/>
      <c r="S105" s="16"/>
      <c r="T105" s="16"/>
      <c r="U105" s="16"/>
      <c r="V105" s="16"/>
      <c r="W105" s="16"/>
      <c r="X105" s="16"/>
      <c r="Y105" s="16"/>
      <c r="Z105" s="16"/>
      <c r="AA105" s="16"/>
      <c r="AB105" s="16"/>
      <c r="AC105" s="16"/>
      <c r="AD105" s="16"/>
      <c r="AE105" s="16"/>
      <c r="AL105" s="16"/>
      <c r="AP105" s="16"/>
    </row>
    <row r="106" spans="13:45" x14ac:dyDescent="0.35">
      <c r="N106" s="16"/>
      <c r="O106" s="16"/>
      <c r="P106" s="16"/>
      <c r="Q106" s="16"/>
      <c r="R106" s="16"/>
      <c r="S106" s="16"/>
      <c r="T106" s="16"/>
      <c r="U106" s="16"/>
      <c r="V106" s="16"/>
      <c r="W106" s="16"/>
      <c r="X106" s="16"/>
      <c r="Y106" s="16"/>
      <c r="Z106" s="16"/>
      <c r="AA106" s="16"/>
      <c r="AB106" s="16"/>
      <c r="AC106" s="16"/>
      <c r="AD106" s="16"/>
      <c r="AE106" s="16"/>
      <c r="AL106" s="16"/>
      <c r="AP106" s="16"/>
    </row>
    <row r="107" spans="13:45" x14ac:dyDescent="0.35">
      <c r="N107" s="16"/>
      <c r="O107" s="16"/>
      <c r="P107" s="16"/>
      <c r="Q107" s="16"/>
      <c r="R107" s="16"/>
      <c r="S107" s="16"/>
      <c r="T107" s="16"/>
      <c r="U107" s="16"/>
      <c r="V107" s="16"/>
      <c r="W107" s="16"/>
      <c r="X107" s="16"/>
      <c r="Y107" s="16"/>
      <c r="Z107" s="16"/>
      <c r="AA107" s="16"/>
      <c r="AB107" s="16"/>
      <c r="AC107" s="16"/>
      <c r="AD107" s="16"/>
      <c r="AE107" s="16"/>
      <c r="AL107" s="16"/>
      <c r="AP107" s="16"/>
    </row>
    <row r="108" spans="13:45" x14ac:dyDescent="0.35">
      <c r="N108" s="16"/>
      <c r="O108" s="16"/>
      <c r="P108" s="16"/>
      <c r="Q108" s="16"/>
      <c r="R108" s="16"/>
      <c r="S108" s="16"/>
      <c r="T108" s="16"/>
      <c r="U108" s="16"/>
      <c r="V108" s="16"/>
      <c r="W108" s="16"/>
      <c r="X108" s="16"/>
      <c r="Y108" s="16"/>
      <c r="Z108" s="16"/>
      <c r="AA108" s="16"/>
      <c r="AB108" s="16"/>
      <c r="AC108" s="16"/>
      <c r="AD108" s="16"/>
      <c r="AE108" s="16"/>
      <c r="AL108" s="16"/>
      <c r="AP108" s="16"/>
    </row>
  </sheetData>
  <phoneticPr fontId="12" type="noConversion"/>
  <pageMargins left="0.7" right="0.7" top="0.75" bottom="0.75" header="0.3" footer="0.3"/>
  <pageSetup paperSize="9" orientation="portrait" r:id="rId1"/>
  <legacyDrawing r:id="rId2"/>
  <tableParts count="6">
    <tablePart r:id="rId3"/>
    <tablePart r:id="rId4"/>
    <tablePart r:id="rId5"/>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7</vt:i4>
      </vt:variant>
    </vt:vector>
  </HeadingPairs>
  <TitlesOfParts>
    <vt:vector size="13" baseType="lpstr">
      <vt:lpstr>Notice d'utilisation</vt:lpstr>
      <vt:lpstr>Référentiel</vt:lpstr>
      <vt:lpstr>Caractéristiques du service</vt:lpstr>
      <vt:lpstr>Résultats</vt:lpstr>
      <vt:lpstr>Résultats USIC temps continu</vt:lpstr>
      <vt:lpstr>Base de données </vt:lpstr>
      <vt:lpstr>BaseUSIC</vt:lpstr>
      <vt:lpstr>NbFormation</vt:lpstr>
      <vt:lpstr>NbRTT</vt:lpstr>
      <vt:lpstr>NbSolidarite</vt:lpstr>
      <vt:lpstr>NomEtb</vt:lpstr>
      <vt:lpstr>USC</vt:lpstr>
      <vt:lpstr>USIC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camil</dc:creator>
  <cp:keywords/>
  <dc:description/>
  <cp:lastModifiedBy>simon cattan</cp:lastModifiedBy>
  <cp:revision/>
  <dcterms:created xsi:type="dcterms:W3CDTF">2021-11-25T10:20:33Z</dcterms:created>
  <dcterms:modified xsi:type="dcterms:W3CDTF">2025-11-20T09:09:50Z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